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mware-host\Shared Folders\Desktop\"/>
    </mc:Choice>
  </mc:AlternateContent>
  <bookViews>
    <workbookView xWindow="0" yWindow="0" windowWidth="28800" windowHeight="12435" activeTab="2"/>
  </bookViews>
  <sheets>
    <sheet name="Trade Breakup" sheetId="1" r:id="rId1"/>
    <sheet name="Trade Breakup Showing Markup" sheetId="2" r:id="rId2"/>
    <sheet name="Trade Summary" sheetId="3" r:id="rId3"/>
  </sheets>
  <calcPr calcId="152511"/>
</workbook>
</file>

<file path=xl/calcChain.xml><?xml version="1.0" encoding="utf-8"?>
<calcChain xmlns="http://schemas.openxmlformats.org/spreadsheetml/2006/main">
  <c r="D37" i="3" l="1"/>
  <c r="D35" i="3"/>
  <c r="E344" i="2"/>
  <c r="G344" i="2" s="1"/>
  <c r="E343" i="2"/>
  <c r="G343" i="2" s="1"/>
  <c r="E342" i="2"/>
  <c r="G342" i="2" s="1"/>
  <c r="E340" i="2"/>
  <c r="G340" i="2" s="1"/>
  <c r="E339" i="2"/>
  <c r="G339" i="2" s="1"/>
  <c r="E338" i="2"/>
  <c r="G338" i="2" s="1"/>
  <c r="D34" i="3" s="1"/>
  <c r="E336" i="2"/>
  <c r="G336" i="2" s="1"/>
  <c r="E335" i="2"/>
  <c r="G335" i="2" s="1"/>
  <c r="D33" i="3" s="1"/>
  <c r="E333" i="2"/>
  <c r="G333" i="2" s="1"/>
  <c r="E332" i="2"/>
  <c r="G332" i="2" s="1"/>
  <c r="E331" i="2"/>
  <c r="G331" i="2" s="1"/>
  <c r="E329" i="2"/>
  <c r="G329" i="2" s="1"/>
  <c r="E328" i="2"/>
  <c r="G328" i="2" s="1"/>
  <c r="E327" i="2"/>
  <c r="G327" i="2" s="1"/>
  <c r="E326" i="2"/>
  <c r="G326" i="2" s="1"/>
  <c r="E325" i="2"/>
  <c r="G325" i="2" s="1"/>
  <c r="E324" i="2"/>
  <c r="G324" i="2" s="1"/>
  <c r="E323" i="2"/>
  <c r="G323" i="2" s="1"/>
  <c r="E322" i="2"/>
  <c r="G322" i="2" s="1"/>
  <c r="E321" i="2"/>
  <c r="G321" i="2" s="1"/>
  <c r="E320" i="2"/>
  <c r="G320" i="2" s="1"/>
  <c r="E319" i="2"/>
  <c r="G319" i="2" s="1"/>
  <c r="E318" i="2"/>
  <c r="G318" i="2" s="1"/>
  <c r="E317" i="2"/>
  <c r="G317" i="2" s="1"/>
  <c r="E316" i="2"/>
  <c r="G316" i="2" s="1"/>
  <c r="E315" i="2"/>
  <c r="G315" i="2" s="1"/>
  <c r="E314" i="2"/>
  <c r="G314" i="2" s="1"/>
  <c r="E313" i="2"/>
  <c r="G313" i="2" s="1"/>
  <c r="E312" i="2"/>
  <c r="G312" i="2" s="1"/>
  <c r="E311" i="2"/>
  <c r="G311" i="2" s="1"/>
  <c r="D31" i="3" s="1"/>
  <c r="E309" i="2"/>
  <c r="G309" i="2" s="1"/>
  <c r="E308" i="2"/>
  <c r="G308" i="2" s="1"/>
  <c r="E307" i="2"/>
  <c r="G307" i="2" s="1"/>
  <c r="E305" i="2"/>
  <c r="G305" i="2" s="1"/>
  <c r="E304" i="2"/>
  <c r="G304" i="2" s="1"/>
  <c r="E303" i="2"/>
  <c r="G303" i="2" s="1"/>
  <c r="D29" i="3" s="1"/>
  <c r="E301" i="2"/>
  <c r="G301" i="2" s="1"/>
  <c r="E300" i="2"/>
  <c r="G300" i="2" s="1"/>
  <c r="E299" i="2"/>
  <c r="G299" i="2" s="1"/>
  <c r="E298" i="2"/>
  <c r="G298" i="2" s="1"/>
  <c r="E297" i="2"/>
  <c r="G297" i="2" s="1"/>
  <c r="E296" i="2"/>
  <c r="G296" i="2" s="1"/>
  <c r="D28" i="3" s="1"/>
  <c r="E294" i="2"/>
  <c r="G294" i="2" s="1"/>
  <c r="E293" i="2"/>
  <c r="G293" i="2" s="1"/>
  <c r="D27" i="3" s="1"/>
  <c r="E292" i="2"/>
  <c r="G292" i="2" s="1"/>
  <c r="E290" i="2"/>
  <c r="G290" i="2" s="1"/>
  <c r="E289" i="2"/>
  <c r="G289" i="2" s="1"/>
  <c r="E288" i="2"/>
  <c r="G288" i="2" s="1"/>
  <c r="D26" i="3" s="1"/>
  <c r="E286" i="2"/>
  <c r="G286" i="2" s="1"/>
  <c r="E285" i="2"/>
  <c r="G285" i="2" s="1"/>
  <c r="E284" i="2"/>
  <c r="G284" i="2" s="1"/>
  <c r="E283" i="2"/>
  <c r="G283" i="2" s="1"/>
  <c r="E282" i="2"/>
  <c r="G282" i="2" s="1"/>
  <c r="E281" i="2"/>
  <c r="G281" i="2" s="1"/>
  <c r="E280" i="2"/>
  <c r="G280" i="2" s="1"/>
  <c r="E279" i="2"/>
  <c r="G279" i="2" s="1"/>
  <c r="E278" i="2"/>
  <c r="G278" i="2" s="1"/>
  <c r="E277" i="2"/>
  <c r="G277" i="2" s="1"/>
  <c r="E276" i="2"/>
  <c r="G276" i="2" s="1"/>
  <c r="E275" i="2"/>
  <c r="G275" i="2" s="1"/>
  <c r="E274" i="2"/>
  <c r="G274" i="2" s="1"/>
  <c r="E273" i="2"/>
  <c r="G273" i="2" s="1"/>
  <c r="E272" i="2"/>
  <c r="G272" i="2" s="1"/>
  <c r="E271" i="2"/>
  <c r="G271" i="2" s="1"/>
  <c r="E270" i="2"/>
  <c r="G270" i="2" s="1"/>
  <c r="G269" i="2"/>
  <c r="E269" i="2"/>
  <c r="G268" i="2"/>
  <c r="E268" i="2"/>
  <c r="G267" i="2"/>
  <c r="E267" i="2"/>
  <c r="G266" i="2"/>
  <c r="E266" i="2"/>
  <c r="G265" i="2"/>
  <c r="E265" i="2"/>
  <c r="G264" i="2"/>
  <c r="D25" i="3" s="1"/>
  <c r="E264" i="2"/>
  <c r="G262" i="2"/>
  <c r="E262" i="2"/>
  <c r="G261" i="2"/>
  <c r="E261" i="2"/>
  <c r="G260" i="2"/>
  <c r="E260" i="2"/>
  <c r="G259" i="2"/>
  <c r="E259" i="2"/>
  <c r="G258" i="2"/>
  <c r="E258" i="2"/>
  <c r="G257" i="2"/>
  <c r="E257" i="2"/>
  <c r="G256" i="2"/>
  <c r="E256" i="2"/>
  <c r="G255" i="2"/>
  <c r="E255" i="2"/>
  <c r="G254" i="2"/>
  <c r="E254" i="2"/>
  <c r="G253" i="2"/>
  <c r="E253" i="2"/>
  <c r="G252" i="2"/>
  <c r="E252" i="2"/>
  <c r="G251" i="2"/>
  <c r="E251" i="2"/>
  <c r="G250" i="2"/>
  <c r="E250" i="2"/>
  <c r="G249" i="2"/>
  <c r="E249" i="2"/>
  <c r="G248" i="2"/>
  <c r="E248" i="2"/>
  <c r="G247" i="2"/>
  <c r="E247" i="2"/>
  <c r="G246" i="2"/>
  <c r="E246" i="2"/>
  <c r="G245" i="2"/>
  <c r="E245" i="2"/>
  <c r="G244" i="2"/>
  <c r="D24" i="3" s="1"/>
  <c r="E244" i="2"/>
  <c r="G241" i="2"/>
  <c r="E241" i="2"/>
  <c r="G240" i="2"/>
  <c r="E240" i="2"/>
  <c r="G239" i="2"/>
  <c r="E239" i="2"/>
  <c r="G238" i="2"/>
  <c r="D23" i="3" s="1"/>
  <c r="E238" i="2"/>
  <c r="G236" i="2"/>
  <c r="E236" i="2"/>
  <c r="G235" i="2"/>
  <c r="D22" i="3" s="1"/>
  <c r="E235" i="2"/>
  <c r="G233" i="2"/>
  <c r="E233" i="2"/>
  <c r="G232" i="2"/>
  <c r="E232" i="2"/>
  <c r="G231" i="2"/>
  <c r="E231" i="2"/>
  <c r="G230" i="2"/>
  <c r="E230" i="2"/>
  <c r="G229" i="2"/>
  <c r="E229" i="2"/>
  <c r="G228" i="2"/>
  <c r="E228" i="2"/>
  <c r="G227" i="2"/>
  <c r="E227" i="2"/>
  <c r="G226" i="2"/>
  <c r="D21" i="3" s="1"/>
  <c r="E226" i="2"/>
  <c r="G224" i="2"/>
  <c r="E224" i="2"/>
  <c r="G223" i="2"/>
  <c r="E223" i="2"/>
  <c r="G222" i="2"/>
  <c r="D20" i="3" s="1"/>
  <c r="E222" i="2"/>
  <c r="G220" i="2"/>
  <c r="E220" i="2"/>
  <c r="G219" i="2"/>
  <c r="E219" i="2"/>
  <c r="G218" i="2"/>
  <c r="E218" i="2"/>
  <c r="G217" i="2"/>
  <c r="E217" i="2"/>
  <c r="G216" i="2"/>
  <c r="E216" i="2"/>
  <c r="G215" i="2"/>
  <c r="E215" i="2"/>
  <c r="G214" i="2"/>
  <c r="E214" i="2"/>
  <c r="G213" i="2"/>
  <c r="E213" i="2"/>
  <c r="G212" i="2"/>
  <c r="E212" i="2"/>
  <c r="G211" i="2"/>
  <c r="E211" i="2"/>
  <c r="G210" i="2"/>
  <c r="E210" i="2"/>
  <c r="G209" i="2"/>
  <c r="E209" i="2"/>
  <c r="G208" i="2"/>
  <c r="E208" i="2"/>
  <c r="G207" i="2"/>
  <c r="E207" i="2"/>
  <c r="G206" i="2"/>
  <c r="E206" i="2"/>
  <c r="G205" i="2"/>
  <c r="E205" i="2"/>
  <c r="G204" i="2"/>
  <c r="E204" i="2"/>
  <c r="G203" i="2"/>
  <c r="E203" i="2"/>
  <c r="G202" i="2"/>
  <c r="E202" i="2"/>
  <c r="G201" i="2"/>
  <c r="E201" i="2"/>
  <c r="G200" i="2"/>
  <c r="E200" i="2"/>
  <c r="G199" i="2"/>
  <c r="E199" i="2"/>
  <c r="G198" i="2"/>
  <c r="E198" i="2"/>
  <c r="G197" i="2"/>
  <c r="E197" i="2"/>
  <c r="G196" i="2"/>
  <c r="E196" i="2"/>
  <c r="G195" i="2"/>
  <c r="E195" i="2"/>
  <c r="G194" i="2"/>
  <c r="D19" i="3" s="1"/>
  <c r="E194" i="2"/>
  <c r="G192" i="2"/>
  <c r="D18" i="3" s="1"/>
  <c r="E192" i="2"/>
  <c r="G190" i="2"/>
  <c r="E190" i="2"/>
  <c r="G189" i="2"/>
  <c r="E189" i="2"/>
  <c r="G188" i="2"/>
  <c r="E188" i="2"/>
  <c r="G187" i="2"/>
  <c r="E187" i="2"/>
  <c r="G186" i="2"/>
  <c r="E186" i="2"/>
  <c r="G185" i="2"/>
  <c r="E185" i="2"/>
  <c r="G184" i="2"/>
  <c r="E184" i="2"/>
  <c r="G183" i="2"/>
  <c r="E183" i="2"/>
  <c r="G182" i="2"/>
  <c r="E182" i="2"/>
  <c r="G181" i="2"/>
  <c r="E181" i="2"/>
  <c r="G180" i="2"/>
  <c r="E180" i="2"/>
  <c r="G179" i="2"/>
  <c r="E179" i="2"/>
  <c r="G178" i="2"/>
  <c r="E178" i="2"/>
  <c r="G177" i="2"/>
  <c r="E177" i="2"/>
  <c r="G176" i="2"/>
  <c r="E176" i="2"/>
  <c r="G175" i="2"/>
  <c r="E175" i="2"/>
  <c r="G174" i="2"/>
  <c r="E174" i="2"/>
  <c r="G173" i="2"/>
  <c r="E173" i="2"/>
  <c r="G172" i="2"/>
  <c r="E172" i="2"/>
  <c r="G171" i="2"/>
  <c r="E171" i="2"/>
  <c r="G170" i="2"/>
  <c r="E170" i="2"/>
  <c r="G169" i="2"/>
  <c r="E169" i="2"/>
  <c r="G168" i="2"/>
  <c r="E168" i="2"/>
  <c r="G167" i="2"/>
  <c r="D17" i="3" s="1"/>
  <c r="E167" i="2"/>
  <c r="G164" i="2"/>
  <c r="E164" i="2"/>
  <c r="G163" i="2"/>
  <c r="E163" i="2"/>
  <c r="G162" i="2"/>
  <c r="E162" i="2"/>
  <c r="G161" i="2"/>
  <c r="E161" i="2"/>
  <c r="G160" i="2"/>
  <c r="E160" i="2"/>
  <c r="G159" i="2"/>
  <c r="E159" i="2"/>
  <c r="G158" i="2"/>
  <c r="E158" i="2"/>
  <c r="G157" i="2"/>
  <c r="E157" i="2"/>
  <c r="G156" i="2"/>
  <c r="E156" i="2"/>
  <c r="G155" i="2"/>
  <c r="E155" i="2"/>
  <c r="G154" i="2"/>
  <c r="D16" i="3" s="1"/>
  <c r="E154" i="2"/>
  <c r="G152" i="2"/>
  <c r="E152" i="2"/>
  <c r="G151" i="2"/>
  <c r="E151" i="2"/>
  <c r="G150" i="2"/>
  <c r="E150" i="2"/>
  <c r="G149" i="2"/>
  <c r="E149" i="2"/>
  <c r="G148" i="2"/>
  <c r="E148" i="2"/>
  <c r="G147" i="2"/>
  <c r="E147" i="2"/>
  <c r="G146" i="2"/>
  <c r="E146" i="2"/>
  <c r="G145" i="2"/>
  <c r="E145" i="2"/>
  <c r="G144" i="2"/>
  <c r="E144" i="2"/>
  <c r="G143" i="2"/>
  <c r="E143" i="2"/>
  <c r="G142" i="2"/>
  <c r="E142" i="2"/>
  <c r="G141" i="2"/>
  <c r="E141" i="2"/>
  <c r="G140" i="2"/>
  <c r="D15" i="3" s="1"/>
  <c r="E140" i="2"/>
  <c r="G138" i="2"/>
  <c r="E138" i="2"/>
  <c r="G137" i="2"/>
  <c r="E137" i="2"/>
  <c r="E136" i="2"/>
  <c r="C136" i="2"/>
  <c r="G136" i="2" s="1"/>
  <c r="E135" i="2"/>
  <c r="G135" i="2" s="1"/>
  <c r="E134" i="2"/>
  <c r="G134" i="2" s="1"/>
  <c r="E133" i="2"/>
  <c r="G133" i="2" s="1"/>
  <c r="E132" i="2"/>
  <c r="G132" i="2" s="1"/>
  <c r="E131" i="2"/>
  <c r="G131" i="2" s="1"/>
  <c r="E130" i="2"/>
  <c r="G130" i="2" s="1"/>
  <c r="E129" i="2"/>
  <c r="G129" i="2" s="1"/>
  <c r="E128" i="2"/>
  <c r="G128" i="2" s="1"/>
  <c r="E127" i="2"/>
  <c r="G127" i="2" s="1"/>
  <c r="E126" i="2"/>
  <c r="G126" i="2" s="1"/>
  <c r="E125" i="2"/>
  <c r="G125" i="2" s="1"/>
  <c r="E124" i="2"/>
  <c r="G124" i="2" s="1"/>
  <c r="E123" i="2"/>
  <c r="G123" i="2" s="1"/>
  <c r="E122" i="2"/>
  <c r="G122" i="2" s="1"/>
  <c r="E121" i="2"/>
  <c r="G121" i="2" s="1"/>
  <c r="E119" i="2"/>
  <c r="G119" i="2" s="1"/>
  <c r="E118" i="2"/>
  <c r="G118" i="2" s="1"/>
  <c r="E117" i="2"/>
  <c r="G117" i="2" s="1"/>
  <c r="E116" i="2"/>
  <c r="G116" i="2" s="1"/>
  <c r="E115" i="2"/>
  <c r="G115" i="2" s="1"/>
  <c r="E114" i="2"/>
  <c r="G114" i="2" s="1"/>
  <c r="E112" i="2"/>
  <c r="G112" i="2" s="1"/>
  <c r="D12" i="3" s="1"/>
  <c r="E110" i="2"/>
  <c r="G110" i="2" s="1"/>
  <c r="E109" i="2"/>
  <c r="G109" i="2" s="1"/>
  <c r="E108" i="2"/>
  <c r="G108" i="2" s="1"/>
  <c r="E107" i="2"/>
  <c r="G107" i="2" s="1"/>
  <c r="E106" i="2"/>
  <c r="G106" i="2" s="1"/>
  <c r="E105" i="2"/>
  <c r="G105" i="2" s="1"/>
  <c r="E104" i="2"/>
  <c r="G104" i="2" s="1"/>
  <c r="E103" i="2"/>
  <c r="G103" i="2" s="1"/>
  <c r="E102" i="2"/>
  <c r="G102" i="2" s="1"/>
  <c r="E101" i="2"/>
  <c r="G101" i="2" s="1"/>
  <c r="E100" i="2"/>
  <c r="G100" i="2" s="1"/>
  <c r="E99" i="2"/>
  <c r="G99" i="2" s="1"/>
  <c r="E98" i="2"/>
  <c r="G98" i="2" s="1"/>
  <c r="E97" i="2"/>
  <c r="G97" i="2" s="1"/>
  <c r="E96" i="2"/>
  <c r="G96" i="2" s="1"/>
  <c r="E95" i="2"/>
  <c r="G95" i="2" s="1"/>
  <c r="E94" i="2"/>
  <c r="G94" i="2" s="1"/>
  <c r="E93" i="2"/>
  <c r="G93" i="2" s="1"/>
  <c r="E92" i="2"/>
  <c r="G92" i="2" s="1"/>
  <c r="E91" i="2"/>
  <c r="G91" i="2" s="1"/>
  <c r="E90" i="2"/>
  <c r="G90" i="2" s="1"/>
  <c r="E89" i="2"/>
  <c r="G89" i="2" s="1"/>
  <c r="E88" i="2"/>
  <c r="G88" i="2" s="1"/>
  <c r="E87" i="2"/>
  <c r="G87" i="2" s="1"/>
  <c r="E86" i="2"/>
  <c r="G86" i="2" s="1"/>
  <c r="E85" i="2"/>
  <c r="G85" i="2" s="1"/>
  <c r="E84" i="2"/>
  <c r="G84" i="2" s="1"/>
  <c r="E83" i="2"/>
  <c r="G83" i="2" s="1"/>
  <c r="E82" i="2"/>
  <c r="G82" i="2" s="1"/>
  <c r="E81" i="2"/>
  <c r="G81" i="2" s="1"/>
  <c r="E80" i="2"/>
  <c r="G80" i="2" s="1"/>
  <c r="E79" i="2"/>
  <c r="G79" i="2" s="1"/>
  <c r="E78" i="2"/>
  <c r="G78" i="2" s="1"/>
  <c r="E77" i="2"/>
  <c r="G77" i="2" s="1"/>
  <c r="E76" i="2"/>
  <c r="G76" i="2" s="1"/>
  <c r="E75" i="2"/>
  <c r="G75" i="2" s="1"/>
  <c r="E74" i="2"/>
  <c r="G74" i="2" s="1"/>
  <c r="E73" i="2"/>
  <c r="G73" i="2" s="1"/>
  <c r="E72" i="2"/>
  <c r="G72" i="2" s="1"/>
  <c r="E71" i="2"/>
  <c r="G71" i="2" s="1"/>
  <c r="E70" i="2"/>
  <c r="G70" i="2" s="1"/>
  <c r="E69" i="2"/>
  <c r="G69" i="2" s="1"/>
  <c r="E68" i="2"/>
  <c r="G68" i="2" s="1"/>
  <c r="E67" i="2"/>
  <c r="G67" i="2" s="1"/>
  <c r="E66" i="2"/>
  <c r="G66" i="2" s="1"/>
  <c r="E65" i="2"/>
  <c r="G65" i="2" s="1"/>
  <c r="D11" i="3" s="1"/>
  <c r="E62" i="2"/>
  <c r="G62" i="2" s="1"/>
  <c r="E61" i="2"/>
  <c r="G61" i="2" s="1"/>
  <c r="E60" i="2"/>
  <c r="G60" i="2" s="1"/>
  <c r="E59" i="2"/>
  <c r="G59" i="2" s="1"/>
  <c r="E58" i="2"/>
  <c r="G58" i="2" s="1"/>
  <c r="E57" i="2"/>
  <c r="G57" i="2" s="1"/>
  <c r="E56" i="2"/>
  <c r="G56" i="2" s="1"/>
  <c r="E55" i="2"/>
  <c r="G55" i="2" s="1"/>
  <c r="E54" i="2"/>
  <c r="G54" i="2" s="1"/>
  <c r="E52" i="2"/>
  <c r="G52" i="2" s="1"/>
  <c r="E51" i="2"/>
  <c r="G51" i="2" s="1"/>
  <c r="E50" i="2"/>
  <c r="G50" i="2" s="1"/>
  <c r="E49" i="2"/>
  <c r="G49" i="2" s="1"/>
  <c r="E48" i="2"/>
  <c r="G48" i="2" s="1"/>
  <c r="E47" i="2"/>
  <c r="G47" i="2" s="1"/>
  <c r="E46" i="2"/>
  <c r="G46" i="2" s="1"/>
  <c r="E45" i="2"/>
  <c r="G45" i="2" s="1"/>
  <c r="E43" i="2"/>
  <c r="G43" i="2" s="1"/>
  <c r="E42" i="2"/>
  <c r="G42" i="2" s="1"/>
  <c r="E40" i="2"/>
  <c r="G40" i="2" s="1"/>
  <c r="E39" i="2"/>
  <c r="G39" i="2" s="1"/>
  <c r="E38" i="2"/>
  <c r="G38" i="2" s="1"/>
  <c r="E37" i="2"/>
  <c r="G37" i="2" s="1"/>
  <c r="E36" i="2"/>
  <c r="G36" i="2" s="1"/>
  <c r="E35" i="2"/>
  <c r="G35" i="2" s="1"/>
  <c r="E34" i="2"/>
  <c r="G34" i="2" s="1"/>
  <c r="D7" i="3" s="1"/>
  <c r="E32" i="2"/>
  <c r="G32" i="2" s="1"/>
  <c r="E31" i="2"/>
  <c r="G31" i="2" s="1"/>
  <c r="E30" i="2"/>
  <c r="G30" i="2" s="1"/>
  <c r="E28" i="2"/>
  <c r="G28" i="2" s="1"/>
  <c r="E27" i="2"/>
  <c r="G27" i="2" s="1"/>
  <c r="E26" i="2"/>
  <c r="G26" i="2" s="1"/>
  <c r="D5" i="3" s="1"/>
  <c r="E24" i="2"/>
  <c r="G24" i="2" s="1"/>
  <c r="E23" i="2"/>
  <c r="G23" i="2" s="1"/>
  <c r="E22" i="2"/>
  <c r="G22" i="2" s="1"/>
  <c r="E21" i="2"/>
  <c r="G21" i="2" s="1"/>
  <c r="E20" i="2"/>
  <c r="G20" i="2" s="1"/>
  <c r="E19" i="2"/>
  <c r="G19" i="2" s="1"/>
  <c r="E18" i="2"/>
  <c r="G18" i="2" s="1"/>
  <c r="E17" i="2"/>
  <c r="G17" i="2" s="1"/>
  <c r="E16" i="2"/>
  <c r="G16" i="2" s="1"/>
  <c r="E15" i="2"/>
  <c r="G15" i="2" s="1"/>
  <c r="D4" i="3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D3" i="3" s="1"/>
  <c r="E6" i="2"/>
  <c r="G6" i="2" s="1"/>
  <c r="E5" i="2"/>
  <c r="G5" i="2" s="1"/>
  <c r="E4" i="2"/>
  <c r="G4" i="2" s="1"/>
  <c r="E3" i="2"/>
  <c r="G3" i="2" s="1"/>
  <c r="F344" i="1"/>
  <c r="E344" i="1"/>
  <c r="F343" i="1"/>
  <c r="E343" i="1"/>
  <c r="F342" i="1"/>
  <c r="E342" i="1"/>
  <c r="F340" i="1"/>
  <c r="E340" i="1"/>
  <c r="F339" i="1"/>
  <c r="E339" i="1"/>
  <c r="F338" i="1"/>
  <c r="E338" i="1"/>
  <c r="F336" i="1"/>
  <c r="E336" i="1"/>
  <c r="F335" i="1"/>
  <c r="E335" i="1"/>
  <c r="F333" i="1"/>
  <c r="E333" i="1"/>
  <c r="F332" i="1"/>
  <c r="E332" i="1"/>
  <c r="F331" i="1"/>
  <c r="E331" i="1"/>
  <c r="F329" i="1"/>
  <c r="E329" i="1"/>
  <c r="F328" i="1"/>
  <c r="E328" i="1"/>
  <c r="F327" i="1"/>
  <c r="E327" i="1"/>
  <c r="F326" i="1"/>
  <c r="E326" i="1"/>
  <c r="F325" i="1"/>
  <c r="E325" i="1"/>
  <c r="F324" i="1"/>
  <c r="E324" i="1"/>
  <c r="F323" i="1"/>
  <c r="E323" i="1"/>
  <c r="F322" i="1"/>
  <c r="E322" i="1"/>
  <c r="F321" i="1"/>
  <c r="E321" i="1"/>
  <c r="F320" i="1"/>
  <c r="E320" i="1"/>
  <c r="F319" i="1"/>
  <c r="E319" i="1"/>
  <c r="F318" i="1"/>
  <c r="E318" i="1"/>
  <c r="F317" i="1"/>
  <c r="E317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F309" i="1"/>
  <c r="E309" i="1"/>
  <c r="F308" i="1"/>
  <c r="E308" i="1"/>
  <c r="F307" i="1"/>
  <c r="E307" i="1"/>
  <c r="F305" i="1"/>
  <c r="E305" i="1"/>
  <c r="F304" i="1"/>
  <c r="E304" i="1"/>
  <c r="F303" i="1"/>
  <c r="E303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4" i="1"/>
  <c r="E294" i="1"/>
  <c r="F293" i="1"/>
  <c r="E293" i="1"/>
  <c r="F292" i="1"/>
  <c r="E292" i="1"/>
  <c r="F290" i="1"/>
  <c r="E290" i="1"/>
  <c r="F289" i="1"/>
  <c r="E289" i="1"/>
  <c r="F288" i="1"/>
  <c r="E288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1" i="1"/>
  <c r="E241" i="1"/>
  <c r="F240" i="1"/>
  <c r="E240" i="1"/>
  <c r="F239" i="1"/>
  <c r="E239" i="1"/>
  <c r="F238" i="1"/>
  <c r="E238" i="1"/>
  <c r="F236" i="1"/>
  <c r="E236" i="1"/>
  <c r="F235" i="1"/>
  <c r="E235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4" i="1"/>
  <c r="E224" i="1"/>
  <c r="F223" i="1"/>
  <c r="E223" i="1"/>
  <c r="F222" i="1"/>
  <c r="E222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2" i="1"/>
  <c r="E192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8" i="1"/>
  <c r="E138" i="1"/>
  <c r="F137" i="1"/>
  <c r="E137" i="1"/>
  <c r="E136" i="1"/>
  <c r="C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2" i="1"/>
  <c r="F112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3" i="1"/>
  <c r="F43" i="1" s="1"/>
  <c r="E42" i="1"/>
  <c r="F42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2" i="1"/>
  <c r="F32" i="1" s="1"/>
  <c r="E31" i="1"/>
  <c r="F31" i="1" s="1"/>
  <c r="E30" i="1"/>
  <c r="F30" i="1" s="1"/>
  <c r="E28" i="1"/>
  <c r="F28" i="1" s="1"/>
  <c r="E27" i="1"/>
  <c r="F27" i="1" s="1"/>
  <c r="E26" i="1"/>
  <c r="F26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6" i="1"/>
  <c r="F6" i="1" s="1"/>
  <c r="E5" i="1"/>
  <c r="F5" i="1" s="1"/>
  <c r="E4" i="1"/>
  <c r="F4" i="1" s="1"/>
  <c r="E3" i="1"/>
  <c r="F3" i="1" s="1"/>
  <c r="F346" i="1" l="1"/>
  <c r="D6" i="3"/>
  <c r="D8" i="3"/>
  <c r="D9" i="3"/>
  <c r="D10" i="3"/>
  <c r="D2" i="3"/>
  <c r="G346" i="2"/>
  <c r="D13" i="3"/>
  <c r="D14" i="3"/>
  <c r="D30" i="3"/>
  <c r="D32" i="3"/>
  <c r="F348" i="1" l="1"/>
  <c r="F349" i="1" s="1"/>
  <c r="D36" i="3"/>
  <c r="G348" i="2"/>
  <c r="D38" i="3" s="1"/>
  <c r="G349" i="2"/>
  <c r="D39" i="3" s="1"/>
</calcChain>
</file>

<file path=xl/sharedStrings.xml><?xml version="1.0" encoding="utf-8"?>
<sst xmlns="http://schemas.openxmlformats.org/spreadsheetml/2006/main" count="1361" uniqueCount="355">
  <si>
    <t>Bill Ref.</t>
  </si>
  <si>
    <t>Description</t>
  </si>
  <si>
    <t>Quantity</t>
  </si>
  <si>
    <t>Unit</t>
  </si>
  <si>
    <t>Rate</t>
  </si>
  <si>
    <t>Total</t>
  </si>
  <si>
    <t>AREAS</t>
  </si>
  <si>
    <t>Living area</t>
  </si>
  <si>
    <t>m2</t>
  </si>
  <si>
    <t>Carport</t>
  </si>
  <si>
    <t>Decks</t>
  </si>
  <si>
    <t>Porches</t>
  </si>
  <si>
    <t>PRELIMINARIES</t>
  </si>
  <si>
    <t xml:space="preserve">Material Take off, Estimating &amp; Quantity surveying  </t>
  </si>
  <si>
    <t>%</t>
  </si>
  <si>
    <t xml:space="preserve">Supervision and coordination 0f suppliers and contractors </t>
  </si>
  <si>
    <t xml:space="preserve">Home Owners Warranty Insurance job up to 1,000,000.00 </t>
  </si>
  <si>
    <t>item</t>
  </si>
  <si>
    <t>Contract works Insurance</t>
  </si>
  <si>
    <t>job</t>
  </si>
  <si>
    <t xml:space="preserve">3 months maintenance work </t>
  </si>
  <si>
    <t>each</t>
  </si>
  <si>
    <t xml:space="preserve">Contingency sums </t>
  </si>
  <si>
    <t>TEMPORARY SERVICES</t>
  </si>
  <si>
    <t xml:space="preserve">Chemical toilet (16 weeks) inc damage waiver </t>
  </si>
  <si>
    <t xml:space="preserve">Chemical toilet inc damage waiver per week </t>
  </si>
  <si>
    <t>week</t>
  </si>
  <si>
    <t xml:space="preserve">Servicing of chemical toilet </t>
  </si>
  <si>
    <t xml:space="preserve">Connection of temporary power pole  </t>
  </si>
  <si>
    <t xml:space="preserve">Temporary power supply  </t>
  </si>
  <si>
    <t>mont</t>
  </si>
  <si>
    <t xml:space="preserve">Site shed </t>
  </si>
  <si>
    <t xml:space="preserve">Rubbish Basket for site </t>
  </si>
  <si>
    <t>3000 Lt water tank for temporary water supply</t>
  </si>
  <si>
    <t>Water Supply during Constructions</t>
  </si>
  <si>
    <t xml:space="preserve">Delivery </t>
  </si>
  <si>
    <t>SITE PREPERATION</t>
  </si>
  <si>
    <t>Scrape site to maximum Depth of 150mm and remove vegetable soils read for construction</t>
  </si>
  <si>
    <t xml:space="preserve">set out building ready for construction  </t>
  </si>
  <si>
    <t>Surveyor to provide setout points</t>
  </si>
  <si>
    <t>HIRE ITEMS</t>
  </si>
  <si>
    <t xml:space="preserve">Mobile crane hire (min 4 hr hire) to place beams etc  </t>
  </si>
  <si>
    <t>hr</t>
  </si>
  <si>
    <t xml:space="preserve">Perimeter Guradrail to roof (Fall protection) </t>
  </si>
  <si>
    <t>m</t>
  </si>
  <si>
    <t>Mobile scaffold Hire</t>
  </si>
  <si>
    <t>weeks</t>
  </si>
  <si>
    <t>DRAINER</t>
  </si>
  <si>
    <t xml:space="preserve">100mm P.V.C Sewer per mtr </t>
  </si>
  <si>
    <t xml:space="preserve">100mm P.V.C Suspended Sewer per mtr </t>
  </si>
  <si>
    <t xml:space="preserve">100mm P.V.C stormwater per mtr </t>
  </si>
  <si>
    <t>Oztanks Under deck tanks 5000 lt</t>
  </si>
  <si>
    <t xml:space="preserve">Install Water tanks </t>
  </si>
  <si>
    <t xml:space="preserve">Install Soak pits </t>
  </si>
  <si>
    <t>Pressure pump</t>
  </si>
  <si>
    <t>TERMITE PROTECTION</t>
  </si>
  <si>
    <t xml:space="preserve">Termite chemical spray sub timber floor  </t>
  </si>
  <si>
    <t xml:space="preserve">Termite spray to perimeter of building "part B"  </t>
  </si>
  <si>
    <t>CONCRETOR</t>
  </si>
  <si>
    <t>Strip footings per M3 350w x 800d with 3-L12 TM top and bottom</t>
  </si>
  <si>
    <t>m3</t>
  </si>
  <si>
    <t xml:space="preserve">Slab per M2 (M class) </t>
  </si>
  <si>
    <t>Additional Boxing to Footing walls above ground</t>
  </si>
  <si>
    <t>Pad Footings</t>
  </si>
  <si>
    <t xml:space="preserve">Extra bulk concrete per M3 </t>
  </si>
  <si>
    <t xml:space="preserve">Concrete pump-Boom (min 4 hrs) </t>
  </si>
  <si>
    <t xml:space="preserve">Concrete pump travel per hour </t>
  </si>
  <si>
    <t xml:space="preserve">Concrete pump per metres pumped </t>
  </si>
  <si>
    <t>BASE BRICKLAYER</t>
  </si>
  <si>
    <t xml:space="preserve">White brick sand per m3 </t>
  </si>
  <si>
    <t xml:space="preserve">Clear waterproof liquid (5lts) </t>
  </si>
  <si>
    <t xml:space="preserve">GP builder's cement per 20kg bag </t>
  </si>
  <si>
    <t xml:space="preserve">Limil per 20kg bag </t>
  </si>
  <si>
    <t xml:space="preserve">Double ring ties per bag </t>
  </si>
  <si>
    <t xml:space="preserve">Hoop Iron 30mts </t>
  </si>
  <si>
    <t xml:space="preserve">Cartage per delivery </t>
  </si>
  <si>
    <t xml:space="preserve">Mixed Pressed Seconds </t>
  </si>
  <si>
    <t xml:space="preserve">Face brick - flush/rendered - up to 3.6m - per 1000 </t>
  </si>
  <si>
    <t>FRAME CARPENTER</t>
  </si>
  <si>
    <t xml:space="preserve">FRAME CARPENTER </t>
  </si>
  <si>
    <t>set out and dig stump holes</t>
  </si>
  <si>
    <t>Install Stumps</t>
  </si>
  <si>
    <t>Bearers &amp; Joists</t>
  </si>
  <si>
    <t>Flooring</t>
  </si>
  <si>
    <t>set out walls</t>
  </si>
  <si>
    <t>Knock Up walls</t>
  </si>
  <si>
    <t>Help with steel</t>
  </si>
  <si>
    <t>Install Trusses</t>
  </si>
  <si>
    <t>Pitch roof and verandahs</t>
  </si>
  <si>
    <t>Roof Battens &amp; Box Gutters</t>
  </si>
  <si>
    <t>Tiedowns &amp; Bracing</t>
  </si>
  <si>
    <t>Install windows</t>
  </si>
  <si>
    <t>Drop Ceilings and Bulkheads</t>
  </si>
  <si>
    <t>Misc</t>
  </si>
  <si>
    <t xml:space="preserve">Frame hardware (Nails, Clips, Ties etc)  </t>
  </si>
  <si>
    <t xml:space="preserve">Stump Hole digger (Tractor or similar)  </t>
  </si>
  <si>
    <t>Each</t>
  </si>
  <si>
    <t xml:space="preserve">20MPa Concrete to stump holes  </t>
  </si>
  <si>
    <t xml:space="preserve">100x100 Concrete stumps  </t>
  </si>
  <si>
    <t xml:space="preserve">Gal. Metal Ant Caps to suit 100 x 100 stumps  </t>
  </si>
  <si>
    <t xml:space="preserve">F8 OB Hardwood </t>
  </si>
  <si>
    <t xml:space="preserve">90x35 MGP10 Pine  </t>
  </si>
  <si>
    <t xml:space="preserve">90x45 MGP10 Pine </t>
  </si>
  <si>
    <t xml:space="preserve">90x45 MGP10 Pine studs  </t>
  </si>
  <si>
    <t xml:space="preserve">90x35 MGP10 Pine studs  </t>
  </si>
  <si>
    <t xml:space="preserve">140x45 F7 Laserpine  </t>
  </si>
  <si>
    <t xml:space="preserve">190x45 F7 Laserpine </t>
  </si>
  <si>
    <t xml:space="preserve">240x45 F7 Laserpine  </t>
  </si>
  <si>
    <t xml:space="preserve">290x45 F7 Laserpine  </t>
  </si>
  <si>
    <t xml:space="preserve">90x45 F17 hardwood  </t>
  </si>
  <si>
    <t xml:space="preserve">190x45 F17 hardwood  </t>
  </si>
  <si>
    <t xml:space="preserve">240x45 F17 hardwood  </t>
  </si>
  <si>
    <t xml:space="preserve">290x45 F17 hardwood  </t>
  </si>
  <si>
    <t xml:space="preserve">90x45 Treated Pine  </t>
  </si>
  <si>
    <t xml:space="preserve">140x45 Treated Pine  </t>
  </si>
  <si>
    <t xml:space="preserve">190x45 Treated Pine  </t>
  </si>
  <si>
    <t xml:space="preserve">240x45 LVL Hyspan  </t>
  </si>
  <si>
    <t>150x75 recycled hwd</t>
  </si>
  <si>
    <t>200x100 recycled hwd</t>
  </si>
  <si>
    <t xml:space="preserve">Yellow Tongue Flooring 3600x900  </t>
  </si>
  <si>
    <t xml:space="preserve">15mm Ply Flooring 2400x1200  </t>
  </si>
  <si>
    <t xml:space="preserve">Secura Floor Internal 2700x600 </t>
  </si>
  <si>
    <t xml:space="preserve">Flooring Glue Tubes  </t>
  </si>
  <si>
    <t xml:space="preserve">Plybrace 2700x1200  </t>
  </si>
  <si>
    <t xml:space="preserve">Minibrace 4.2m  </t>
  </si>
  <si>
    <t xml:space="preserve">Roof Trusses  </t>
  </si>
  <si>
    <t>STRUCTURAL STEEL</t>
  </si>
  <si>
    <t>Structural Steel work fabricated and installed as per attached schedule</t>
  </si>
  <si>
    <t>WINDOWS</t>
  </si>
  <si>
    <t>Powdercoated aluminium double glazed windows and sliding doors Capral 400 series or similar</t>
  </si>
  <si>
    <t>Powdercoated aluminium double glazed  skylights with Solar eclipse glazing</t>
  </si>
  <si>
    <t>Powdercoated aluminium with 150mm WRC louvers</t>
  </si>
  <si>
    <t>Powdercoated Aluminium Louver screen to Plant area</t>
  </si>
  <si>
    <t>Fly screens</t>
  </si>
  <si>
    <t>Fly doors</t>
  </si>
  <si>
    <t>ROOF PLUMBER</t>
  </si>
  <si>
    <t xml:space="preserve">Labour to install sheet roofing </t>
  </si>
  <si>
    <t>Labour to Install Metal cladding</t>
  </si>
  <si>
    <t xml:space="preserve">Labour to install Flashings </t>
  </si>
  <si>
    <t xml:space="preserve">Labour to install gutters </t>
  </si>
  <si>
    <t xml:space="preserve">Labour to install down pipes </t>
  </si>
  <si>
    <t xml:space="preserve">Roofing Hardware </t>
  </si>
  <si>
    <t xml:space="preserve">Custom Orb Roofing Colorbond.  </t>
  </si>
  <si>
    <t xml:space="preserve">Cliplock Roofing .42 BMT 685mm wide. Color </t>
  </si>
  <si>
    <t xml:space="preserve">Clip lock roofing Clips </t>
  </si>
  <si>
    <t xml:space="preserve">Mini Orb .42 825 Wide Colorbond </t>
  </si>
  <si>
    <t xml:space="preserve">Downpipe Pops. 90mm Round. Zinc.  </t>
  </si>
  <si>
    <t>Flashing 200 3 fold Color</t>
  </si>
  <si>
    <t xml:space="preserve">Flashing 400 3 fold Color </t>
  </si>
  <si>
    <t xml:space="preserve">Flashing 800 2 fold Color </t>
  </si>
  <si>
    <t>Sumps</t>
  </si>
  <si>
    <t xml:space="preserve">Foil / Blanket. 75mm x 15m rolls.  </t>
  </si>
  <si>
    <t>Flashing to Flues</t>
  </si>
  <si>
    <t>Install Roof Lights</t>
  </si>
  <si>
    <t>TOP BRICKLAYER</t>
  </si>
  <si>
    <t xml:space="preserve">White brick sand per m2 </t>
  </si>
  <si>
    <t xml:space="preserve">Face wall ties per box </t>
  </si>
  <si>
    <t xml:space="preserve">Split expansion ties </t>
  </si>
  <si>
    <t xml:space="preserve">Foam expansion joint 75mmx10mmx6m </t>
  </si>
  <si>
    <t xml:space="preserve">Angle 100x100x6 @ 1500mm </t>
  </si>
  <si>
    <t xml:space="preserve">Angle 100x100x8 @ 2400mm </t>
  </si>
  <si>
    <t xml:space="preserve">Angle 150x100x8 @ 3000mm </t>
  </si>
  <si>
    <t xml:space="preserve">Fit sisalation paper - per unit/townhouse </t>
  </si>
  <si>
    <t>STONE MASON</t>
  </si>
  <si>
    <t>Basket Range Sandstone ( Allowed 2.5m2 coverage / tonne)</t>
  </si>
  <si>
    <t>tonne</t>
  </si>
  <si>
    <t>Labour to lay random stone walling</t>
  </si>
  <si>
    <t xml:space="preserve">Off white cement per 20kg bag </t>
  </si>
  <si>
    <t>N12  reinforcement bar</t>
  </si>
  <si>
    <t>20 mpa 6mm aggreagte concrete to core fill walls</t>
  </si>
  <si>
    <t>Labour to Place Reinforcement</t>
  </si>
  <si>
    <t>Labour to core fill walls</t>
  </si>
  <si>
    <t>Cartage</t>
  </si>
  <si>
    <t>LOCKUP CARPENTER</t>
  </si>
  <si>
    <t xml:space="preserve">Lock-Up Carpentry Labour  </t>
  </si>
  <si>
    <t>Install Decking</t>
  </si>
  <si>
    <t>Compressed sheet soffits</t>
  </si>
  <si>
    <t>Compressed Sheet Cladding</t>
  </si>
  <si>
    <t>Timber slat cladding</t>
  </si>
  <si>
    <t>Timber Cladding</t>
  </si>
  <si>
    <t>Straighten Frame</t>
  </si>
  <si>
    <t>Trim For Plaster</t>
  </si>
  <si>
    <t>Steps</t>
  </si>
  <si>
    <t>Install cavity Sliders</t>
  </si>
  <si>
    <t>Install Hinged Screens</t>
  </si>
  <si>
    <t xml:space="preserve">Lock-Up Hardware  </t>
  </si>
  <si>
    <t>120x20 Silvertop ash cladding</t>
  </si>
  <si>
    <t>9.0mm Compressed sheet  (Note 9.0mm allowed for as Hardies do not make a 6.0mm Compressed Sheet)</t>
  </si>
  <si>
    <t xml:space="preserve">40x32 Blackbut  </t>
  </si>
  <si>
    <t>75x32 Blackbut</t>
  </si>
  <si>
    <t>135x32 Blackbut</t>
  </si>
  <si>
    <t xml:space="preserve">Masonite Packing strips  </t>
  </si>
  <si>
    <t xml:space="preserve">70x35 Merch Pine  </t>
  </si>
  <si>
    <t>135x19 Blackbutt Decking</t>
  </si>
  <si>
    <t>300x100 Blackbut</t>
  </si>
  <si>
    <t>Screen Frames with gas lift struts</t>
  </si>
  <si>
    <t>Cavity slider unit 234o x oversize</t>
  </si>
  <si>
    <t xml:space="preserve">Breather sisilation 60m roll  </t>
  </si>
  <si>
    <t>PLUMBER</t>
  </si>
  <si>
    <t xml:space="preserve">Roughin &amp; Fit off Hot &amp; Cold water system  </t>
  </si>
  <si>
    <t>ELECTRICAL SERVICES</t>
  </si>
  <si>
    <t>Underground Supply Pit</t>
  </si>
  <si>
    <t xml:space="preserve">Underground connection per mtr </t>
  </si>
  <si>
    <t xml:space="preserve">Dig Electrical trench (min)  </t>
  </si>
  <si>
    <t xml:space="preserve">Electric hot water service circuit </t>
  </si>
  <si>
    <t xml:space="preserve">Smoke alarms each </t>
  </si>
  <si>
    <t xml:space="preserve">Light points - total downlights / other lights </t>
  </si>
  <si>
    <t>Lighting Provisional sum allowance</t>
  </si>
  <si>
    <t xml:space="preserve">Two-way light switching </t>
  </si>
  <si>
    <t xml:space="preserve">Exhaust fans </t>
  </si>
  <si>
    <t xml:space="preserve">Room lights - pendants </t>
  </si>
  <si>
    <t xml:space="preserve">Internal GPOs (single or double) </t>
  </si>
  <si>
    <t xml:space="preserve">External weatherproof GPO (single or double) - on layout </t>
  </si>
  <si>
    <t xml:space="preserve">External weatherproof GPO - water tank / hot water </t>
  </si>
  <si>
    <t xml:space="preserve">GPO &amp; Light to roof space for heating unit </t>
  </si>
  <si>
    <t>Power supply to blinds</t>
  </si>
  <si>
    <t xml:space="preserve">Dishwasher point </t>
  </si>
  <si>
    <t xml:space="preserve">Rangehood wire and install </t>
  </si>
  <si>
    <t xml:space="preserve">Electric wall oven 32 amp </t>
  </si>
  <si>
    <t xml:space="preserve">Heating/cooling condensor each </t>
  </si>
  <si>
    <t xml:space="preserve">Foxtel points each </t>
  </si>
  <si>
    <t xml:space="preserve">TV points each </t>
  </si>
  <si>
    <t xml:space="preserve">Install sweep fan each </t>
  </si>
  <si>
    <t xml:space="preserve">switchboard equipment installed  </t>
  </si>
  <si>
    <t xml:space="preserve">Meterbox &amp; equipment installed  </t>
  </si>
  <si>
    <t xml:space="preserve">Earthing bond &amp; stake  </t>
  </si>
  <si>
    <t>4 Kw solar PV Cell system</t>
  </si>
  <si>
    <t xml:space="preserve">Inspection &amp; certificate of Compliance  </t>
  </si>
  <si>
    <t>MECHANICAL SERVICES</t>
  </si>
  <si>
    <t xml:space="preserve">Hydronic Heating system as quoted by </t>
  </si>
  <si>
    <t>Reverse Cycle ducted airconditioning system Provisional sum allowance</t>
  </si>
  <si>
    <t>Inline Ducted exhaust fans and linear gril</t>
  </si>
  <si>
    <t>INSULATION</t>
  </si>
  <si>
    <t>Bradford R2.5 Optimo underfloor insulation</t>
  </si>
  <si>
    <t xml:space="preserve">R4.0 Comfortseal ceiling per M2 </t>
  </si>
  <si>
    <t xml:space="preserve">Stringing ceiling batts per M2 </t>
  </si>
  <si>
    <t xml:space="preserve">R2.0 Soundscreen wall Batts per M2 </t>
  </si>
  <si>
    <t xml:space="preserve">R2.7 Gold Batts to wall Batts per M2 </t>
  </si>
  <si>
    <t xml:space="preserve">Sound Lagging to sewer pipes </t>
  </si>
  <si>
    <t xml:space="preserve">Sound lagging to sewer pipes Bend </t>
  </si>
  <si>
    <t>R1.9 Kingspan insulation to Stone walls</t>
  </si>
  <si>
    <t>RENDERER</t>
  </si>
  <si>
    <t xml:space="preserve">Rendering to brickwork per M2 (To be painted) </t>
  </si>
  <si>
    <t>Rockcote render finish to wet areas</t>
  </si>
  <si>
    <t>PLASTERER</t>
  </si>
  <si>
    <t xml:space="preserve">10mm Plasterboard installed to walls &amp; ceilings  </t>
  </si>
  <si>
    <t xml:space="preserve">Install metal ceiling Battens  </t>
  </si>
  <si>
    <t>P50 bead in lieu of cornice</t>
  </si>
  <si>
    <t>P50 mould to windows, doors and skirting</t>
  </si>
  <si>
    <t>FIXING CARPENTER</t>
  </si>
  <si>
    <t xml:space="preserve">Fixing Labour  </t>
  </si>
  <si>
    <t>Install strip Flooring</t>
  </si>
  <si>
    <t>Timber lining boards</t>
  </si>
  <si>
    <t>Hang Doors</t>
  </si>
  <si>
    <t>Skirtings</t>
  </si>
  <si>
    <t>Fittings &amp; Fixtures</t>
  </si>
  <si>
    <t>Install Attic Ladder</t>
  </si>
  <si>
    <t>Final adjustments</t>
  </si>
  <si>
    <t xml:space="preserve">Fixing Hardware  </t>
  </si>
  <si>
    <t>170x19 Messmate flooring</t>
  </si>
  <si>
    <t>100x12 Messmate lining</t>
  </si>
  <si>
    <t xml:space="preserve">Solid Core Door 2340x820-520  </t>
  </si>
  <si>
    <t>Solid Core Door 2340xover sized doors</t>
  </si>
  <si>
    <t xml:space="preserve">Jambset  110mm x 45 Rebated 2410x825  </t>
  </si>
  <si>
    <t xml:space="preserve">42x13 MDF skirting  </t>
  </si>
  <si>
    <t xml:space="preserve">Passage sets  </t>
  </si>
  <si>
    <t xml:space="preserve">Flush pulls  </t>
  </si>
  <si>
    <t xml:space="preserve">Door stops  </t>
  </si>
  <si>
    <t xml:space="preserve">Privacy adapters  </t>
  </si>
  <si>
    <t>Attic Ladder</t>
  </si>
  <si>
    <t>JOINERY</t>
  </si>
  <si>
    <t xml:space="preserve">Kitchen -Laminate per mtr  </t>
  </si>
  <si>
    <t>Kitchen - Laminate bulkhead</t>
  </si>
  <si>
    <t xml:space="preserve">Kitchen -Timber Veneered Fronts and panels with recessed doors  and fronts per mtr </t>
  </si>
  <si>
    <t>Kitchen -Maximum Soft Touch porcelain Benchtops</t>
  </si>
  <si>
    <t>Kitchen -Hardwood benchtop</t>
  </si>
  <si>
    <t>Woven Steel Mesh basket Provisional Sum</t>
  </si>
  <si>
    <t>Living- solid timbe joinery unit</t>
  </si>
  <si>
    <t>Bathroom/Ensuite/pwd - Ply cabintes</t>
  </si>
  <si>
    <t>Bathroom -Maximum Soft Touch porcelain Benchtops</t>
  </si>
  <si>
    <t>Bathroom 2 - Laminate per mtr</t>
  </si>
  <si>
    <t>Bathroom 2 -Maximum Soft Touch porcelain Benchtops</t>
  </si>
  <si>
    <t>Hall Joinery Ply finish</t>
  </si>
  <si>
    <t>Study desk</t>
  </si>
  <si>
    <t>Bunk room Cabinets</t>
  </si>
  <si>
    <t>Bunks</t>
  </si>
  <si>
    <t>Bed Cabinetry</t>
  </si>
  <si>
    <t>Bedroom Cabinetry</t>
  </si>
  <si>
    <t>Bedroom Book shelfs and desk</t>
  </si>
  <si>
    <t>Powder</t>
  </si>
  <si>
    <t>WC</t>
  </si>
  <si>
    <t>Laundry- Laminate fronts &amp; Top</t>
  </si>
  <si>
    <t xml:space="preserve">Laundry - Laminate </t>
  </si>
  <si>
    <t>METALWORKER</t>
  </si>
  <si>
    <t>Steel storage boxs</t>
  </si>
  <si>
    <t>Steel Benchtop</t>
  </si>
  <si>
    <t xml:space="preserve">250x10 Aluminium powdercoat finish </t>
  </si>
  <si>
    <t>WATERPROOFING</t>
  </si>
  <si>
    <t xml:space="preserve">Waterproofing floors inc floor/wall junction per M2 </t>
  </si>
  <si>
    <t xml:space="preserve">Angle fitted to doorway </t>
  </si>
  <si>
    <t xml:space="preserve">Waterproof Membrane to showers  </t>
  </si>
  <si>
    <t>TILER</t>
  </si>
  <si>
    <t>Wall Tiles</t>
  </si>
  <si>
    <t>Floor tiles</t>
  </si>
  <si>
    <t xml:space="preserve">Labour to Lay Ceramic Floor Tiles  </t>
  </si>
  <si>
    <t xml:space="preserve">Labour to Lay Ceramic Wall Tiles  </t>
  </si>
  <si>
    <t xml:space="preserve">Labour to lay tile to showerbase  </t>
  </si>
  <si>
    <t>Labour tolay niche</t>
  </si>
  <si>
    <t>PAINTER</t>
  </si>
  <si>
    <t xml:space="preserve">Premium Paint finish internal &amp; external  </t>
  </si>
  <si>
    <t>Extra to paint timber cladding external   Kutec finish</t>
  </si>
  <si>
    <t>Clear Finish to Timber Linings</t>
  </si>
  <si>
    <t>GLAZIER</t>
  </si>
  <si>
    <t>6.0mm Smoked Glass mirrors</t>
  </si>
  <si>
    <t xml:space="preserve">6mm mirror - Framed or Polished Edge - Per M2 </t>
  </si>
  <si>
    <t>Powder coated steel mirror surraounds</t>
  </si>
  <si>
    <t>FITTINGS &amp; FIXTURES</t>
  </si>
  <si>
    <t>Franke sink</t>
  </si>
  <si>
    <t xml:space="preserve">Teknobilli T2 Oz Sink mixer </t>
  </si>
  <si>
    <t xml:space="preserve">Whitestone Hox counter basin 1th Wh/Cp </t>
  </si>
  <si>
    <t>Roca wall Hung Basin</t>
  </si>
  <si>
    <t xml:space="preserve">Standard Plug &amp; waste 32mm x 40mm in chrome (non overflow) </t>
  </si>
  <si>
    <t>Posh solus 70lt trough</t>
  </si>
  <si>
    <t>Nobili Sink mixer</t>
  </si>
  <si>
    <t xml:space="preserve">Dura Arco w/machine stop (set of 2) </t>
  </si>
  <si>
    <t>Phoenix Liscio Vessel Mixer</t>
  </si>
  <si>
    <t>Sussex shower head</t>
  </si>
  <si>
    <t>Mili Shower Mixer</t>
  </si>
  <si>
    <t>Robe Hooks</t>
  </si>
  <si>
    <t>Towel rails</t>
  </si>
  <si>
    <t>Toilet rol Holders</t>
  </si>
  <si>
    <t>Mizu Drift Floor Mount Bath out let</t>
  </si>
  <si>
    <t>Ideal standard Toilet suites</t>
  </si>
  <si>
    <t>Shower Grates</t>
  </si>
  <si>
    <t>FLOORCOVERINGS</t>
  </si>
  <si>
    <t xml:space="preserve">Floor sander per M2 (rate = gloss finish) </t>
  </si>
  <si>
    <t xml:space="preserve">extra for satin or semi-gloss finish - per M2 </t>
  </si>
  <si>
    <t xml:space="preserve">Oiling of timber decking  </t>
  </si>
  <si>
    <t>APPLIANCES</t>
  </si>
  <si>
    <t>Insinkorator</t>
  </si>
  <si>
    <t>Qasair rangehood</t>
  </si>
  <si>
    <t>EXTERNAL WORKS</t>
  </si>
  <si>
    <t>Retractable External Blind</t>
  </si>
  <si>
    <t>Concrete Pavers</t>
  </si>
  <si>
    <t>Crushed rock Drive</t>
  </si>
  <si>
    <t>SITE CLEAN</t>
  </si>
  <si>
    <t xml:space="preserve">Remove Debris, rake &amp; Clean site on completion  </t>
  </si>
  <si>
    <t xml:space="preserve">Internal final house detail prior to handover  </t>
  </si>
  <si>
    <t xml:space="preserve">6m3 bin hire &amp; removal </t>
  </si>
  <si>
    <t>Subtotal</t>
  </si>
  <si>
    <t>Adjustment</t>
  </si>
  <si>
    <t>G.S.T</t>
  </si>
  <si>
    <t>Markup</t>
  </si>
  <si>
    <t>% Job</t>
  </si>
  <si>
    <t>Cost per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</si>
</sst>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b/>
      <sz val="13"/>
      <color rgb="FF1F497D"/>
      <name val="Calibri"/>
    </font>
    <font>
      <b/>
      <sz val="14"/>
      <name val="Calibri"/>
    </font>
    <font>
      <b/>
      <sz val="12"/>
      <name val="Calibri"/>
    </font>
    <font>
      <sz val="13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8CCE4"/>
      </patternFill>
    </fill>
    <fill>
      <patternFill patternType="solid">
        <fgColor rgb="FFCAD9EA"/>
      </patternFill>
    </fill>
    <fill>
      <patternFill patternType="solid">
        <fgColor rgb="FFA7C0D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NumberFormat="1" applyFont="1"/>
    <xf numFmtId="4" fontId="1" fillId="0" borderId="0" xfId="0" applyNumberFormat="1" applyFont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0" fillId="0" borderId="0" xfId="0" applyNumberFormat="1" applyFont="1" applyAlignment="1">
      <alignment horizontal="center" vertical="top" wrapText="1"/>
    </xf>
    <xf numFmtId="4" fontId="3" fillId="3" borderId="0" xfId="0" applyNumberFormat="1" applyFont="1" applyFill="1" applyAlignment="1">
      <alignment horizontal="center" vertical="top" wrapText="1"/>
    </xf>
    <xf numFmtId="4" fontId="0" fillId="0" borderId="0" xfId="0" applyNumberFormat="1" applyFont="1" applyAlignment="1">
      <alignment vertical="top" wrapText="1"/>
    </xf>
    <xf numFmtId="4" fontId="4" fillId="2" borderId="0" xfId="0" applyNumberFormat="1" applyFont="1" applyFill="1" applyAlignment="1">
      <alignment wrapText="1"/>
    </xf>
    <xf numFmtId="4" fontId="2" fillId="4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vertical="top" wrapText="1"/>
    </xf>
    <xf numFmtId="4" fontId="3" fillId="3" borderId="0" xfId="0" applyNumberFormat="1" applyFont="1" applyFill="1" applyAlignment="1">
      <alignment vertical="top" wrapText="1"/>
    </xf>
    <xf numFmtId="4" fontId="0" fillId="0" borderId="0" xfId="0" applyNumberFormat="1" applyFont="1" applyAlignment="1">
      <alignment vertical="top" wrapText="1" indent="1"/>
    </xf>
    <xf numFmtId="4" fontId="2" fillId="2" borderId="0" xfId="0" applyNumberFormat="1" applyFont="1" applyFill="1" applyAlignment="1">
      <alignment horizontal="right" vertical="top" wrapText="1"/>
    </xf>
    <xf numFmtId="4" fontId="0" fillId="0" borderId="0" xfId="0" applyNumberFormat="1" applyFont="1" applyAlignment="1">
      <alignment horizontal="right" vertical="top" wrapText="1"/>
    </xf>
    <xf numFmtId="4" fontId="3" fillId="3" borderId="0" xfId="0" applyNumberFormat="1" applyFont="1" applyFill="1" applyAlignment="1">
      <alignment horizontal="right" vertical="top" wrapText="1"/>
    </xf>
    <xf numFmtId="4" fontId="4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9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/>
    </sheetView>
  </sheetViews>
  <sheetFormatPr defaultRowHeight="15"/>
  <cols>
    <col min="1" max="1" width="13.7109375" customWidth="1"/>
    <col min="2" max="2" width="30" customWidth="1"/>
    <col min="3" max="3" width="12.85546875" customWidth="1"/>
    <col min="4" max="5" width="9.140625" customWidth="1"/>
    <col min="6" max="6" width="20" customWidth="1"/>
  </cols>
  <sheetData>
    <row r="1" spans="1:6" ht="17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8.75">
      <c r="A2" s="2"/>
      <c r="B2" s="8" t="s">
        <v>6</v>
      </c>
      <c r="C2" s="11"/>
      <c r="D2" s="11"/>
      <c r="E2" s="11"/>
      <c r="F2" s="11"/>
    </row>
    <row r="3" spans="1:6">
      <c r="A3" s="3"/>
      <c r="B3" s="5" t="s">
        <v>7</v>
      </c>
      <c r="C3" s="12">
        <v>273.2</v>
      </c>
      <c r="D3" s="12" t="s">
        <v>8</v>
      </c>
      <c r="E3" s="12">
        <f>(0)*(1)*(1 + (0))</f>
        <v>0</v>
      </c>
      <c r="F3" s="12">
        <f>C3*E3</f>
        <v>0</v>
      </c>
    </row>
    <row r="4" spans="1:6">
      <c r="A4" s="3"/>
      <c r="B4" s="5" t="s">
        <v>9</v>
      </c>
      <c r="C4" s="12">
        <v>50.1</v>
      </c>
      <c r="D4" s="12" t="s">
        <v>8</v>
      </c>
      <c r="E4" s="12">
        <f>(0)*(1)*(1 + (0))</f>
        <v>0</v>
      </c>
      <c r="F4" s="12">
        <f>C4*E4</f>
        <v>0</v>
      </c>
    </row>
    <row r="5" spans="1:6">
      <c r="A5" s="3"/>
      <c r="B5" s="5" t="s">
        <v>10</v>
      </c>
      <c r="C5" s="12">
        <v>74</v>
      </c>
      <c r="D5" s="12" t="s">
        <v>8</v>
      </c>
      <c r="E5" s="12">
        <f>(0)*(1)*(1 + (0))</f>
        <v>0</v>
      </c>
      <c r="F5" s="12">
        <f>C5*E5</f>
        <v>0</v>
      </c>
    </row>
    <row r="6" spans="1:6">
      <c r="A6" s="3"/>
      <c r="B6" s="5" t="s">
        <v>11</v>
      </c>
      <c r="C6" s="12">
        <v>19.100000000000001</v>
      </c>
      <c r="D6" s="12" t="s">
        <v>8</v>
      </c>
      <c r="E6" s="12">
        <f>(0)*(1)*(1 + (0))</f>
        <v>0</v>
      </c>
      <c r="F6" s="12">
        <f>C6*E6</f>
        <v>0</v>
      </c>
    </row>
    <row r="7" spans="1:6" ht="18.75">
      <c r="A7" s="2"/>
      <c r="B7" s="8" t="s">
        <v>12</v>
      </c>
      <c r="C7" s="11"/>
      <c r="D7" s="11"/>
      <c r="E7" s="11"/>
      <c r="F7" s="11"/>
    </row>
    <row r="8" spans="1:6" ht="30">
      <c r="A8" s="3"/>
      <c r="B8" s="5" t="s">
        <v>13</v>
      </c>
      <c r="C8" s="12">
        <v>850000</v>
      </c>
      <c r="D8" s="12" t="s">
        <v>14</v>
      </c>
      <c r="E8" s="12">
        <f>(0.0025)*(1)*(1 + (0))</f>
        <v>2.5000000000000001E-3</v>
      </c>
      <c r="F8" s="12">
        <f t="shared" ref="F8:F13" si="0">C8*E8</f>
        <v>2125</v>
      </c>
    </row>
    <row r="9" spans="1:6" ht="30">
      <c r="A9" s="3"/>
      <c r="B9" s="5" t="s">
        <v>15</v>
      </c>
      <c r="C9" s="12">
        <v>1116000</v>
      </c>
      <c r="D9" s="12" t="s">
        <v>14</v>
      </c>
      <c r="E9" s="12">
        <f>(0.03)*(1)*(1 + (0))</f>
        <v>0.03</v>
      </c>
      <c r="F9" s="12">
        <f t="shared" si="0"/>
        <v>33480</v>
      </c>
    </row>
    <row r="10" spans="1:6" ht="30">
      <c r="A10" s="3"/>
      <c r="B10" s="5" t="s">
        <v>16</v>
      </c>
      <c r="C10" s="12">
        <v>1</v>
      </c>
      <c r="D10" s="12" t="s">
        <v>17</v>
      </c>
      <c r="E10" s="12">
        <f>(4002)*(1)*(1 + (0))</f>
        <v>4002</v>
      </c>
      <c r="F10" s="12">
        <f t="shared" si="0"/>
        <v>4002</v>
      </c>
    </row>
    <row r="11" spans="1:6">
      <c r="A11" s="3"/>
      <c r="B11" s="5" t="s">
        <v>18</v>
      </c>
      <c r="C11" s="12">
        <v>1</v>
      </c>
      <c r="D11" s="12" t="s">
        <v>19</v>
      </c>
      <c r="E11" s="12">
        <f>(1800)*(1)*(1 + (0))</f>
        <v>1800</v>
      </c>
      <c r="F11" s="12">
        <f t="shared" si="0"/>
        <v>1800</v>
      </c>
    </row>
    <row r="12" spans="1:6">
      <c r="A12" s="3"/>
      <c r="B12" s="5" t="s">
        <v>20</v>
      </c>
      <c r="C12" s="12">
        <v>1</v>
      </c>
      <c r="D12" s="12" t="s">
        <v>21</v>
      </c>
      <c r="E12" s="12">
        <f>(1200)*(1)*(1 + (0))</f>
        <v>1200</v>
      </c>
      <c r="F12" s="12">
        <f t="shared" si="0"/>
        <v>1200</v>
      </c>
    </row>
    <row r="13" spans="1:6">
      <c r="A13" s="3"/>
      <c r="B13" s="5" t="s">
        <v>22</v>
      </c>
      <c r="C13" s="12">
        <v>1</v>
      </c>
      <c r="D13" s="12" t="s">
        <v>19</v>
      </c>
      <c r="E13" s="12">
        <f>(4000)*(1)*(1 + (0))</f>
        <v>4000</v>
      </c>
      <c r="F13" s="12">
        <f t="shared" si="0"/>
        <v>4000</v>
      </c>
    </row>
    <row r="14" spans="1:6" ht="18.75">
      <c r="A14" s="2"/>
      <c r="B14" s="8" t="s">
        <v>23</v>
      </c>
      <c r="C14" s="11"/>
      <c r="D14" s="11"/>
      <c r="E14" s="11"/>
      <c r="F14" s="11"/>
    </row>
    <row r="15" spans="1:6" ht="30">
      <c r="A15" s="3"/>
      <c r="B15" s="5" t="s">
        <v>24</v>
      </c>
      <c r="C15" s="12">
        <v>1</v>
      </c>
      <c r="D15" s="12" t="s">
        <v>21</v>
      </c>
      <c r="E15" s="12">
        <f>(345.6)*(1)*(1 + (0))</f>
        <v>345.6</v>
      </c>
      <c r="F15" s="12">
        <f t="shared" ref="F15:F24" si="1">C15*E15</f>
        <v>345.6</v>
      </c>
    </row>
    <row r="16" spans="1:6" ht="30">
      <c r="A16" s="3"/>
      <c r="B16" s="5" t="s">
        <v>25</v>
      </c>
      <c r="C16" s="12">
        <v>24</v>
      </c>
      <c r="D16" s="12" t="s">
        <v>26</v>
      </c>
      <c r="E16" s="12">
        <f>(21.6)*(1)*(1 + (0))</f>
        <v>21.6</v>
      </c>
      <c r="F16" s="12">
        <f t="shared" si="1"/>
        <v>518.40000000000009</v>
      </c>
    </row>
    <row r="17" spans="1:6">
      <c r="A17" s="3"/>
      <c r="B17" s="5" t="s">
        <v>27</v>
      </c>
      <c r="C17" s="12">
        <v>10</v>
      </c>
      <c r="D17" s="12" t="s">
        <v>21</v>
      </c>
      <c r="E17" s="12">
        <f>(25)*(1)*(1 + (0))</f>
        <v>25</v>
      </c>
      <c r="F17" s="12">
        <f t="shared" si="1"/>
        <v>250</v>
      </c>
    </row>
    <row r="18" spans="1:6" ht="30">
      <c r="A18" s="3"/>
      <c r="B18" s="5" t="s">
        <v>28</v>
      </c>
      <c r="C18" s="12">
        <v>1</v>
      </c>
      <c r="D18" s="12" t="s">
        <v>17</v>
      </c>
      <c r="E18" s="12">
        <f>(285)*(1)*(1 + (0))</f>
        <v>285</v>
      </c>
      <c r="F18" s="12">
        <f t="shared" si="1"/>
        <v>285</v>
      </c>
    </row>
    <row r="19" spans="1:6">
      <c r="A19" s="3"/>
      <c r="B19" s="5" t="s">
        <v>29</v>
      </c>
      <c r="C19" s="12">
        <v>10</v>
      </c>
      <c r="D19" s="12" t="s">
        <v>30</v>
      </c>
      <c r="E19" s="12">
        <f>(85)*(1)*(1 + (0))</f>
        <v>85</v>
      </c>
      <c r="F19" s="12">
        <f t="shared" si="1"/>
        <v>850</v>
      </c>
    </row>
    <row r="20" spans="1:6">
      <c r="A20" s="3"/>
      <c r="B20" s="5" t="s">
        <v>31</v>
      </c>
      <c r="C20" s="12">
        <v>40</v>
      </c>
      <c r="D20" s="12" t="s">
        <v>19</v>
      </c>
      <c r="E20" s="12">
        <f>(75)*(1)*(1 + (0))</f>
        <v>75</v>
      </c>
      <c r="F20" s="12">
        <f t="shared" si="1"/>
        <v>3000</v>
      </c>
    </row>
    <row r="21" spans="1:6">
      <c r="A21" s="3"/>
      <c r="B21" s="5" t="s">
        <v>32</v>
      </c>
      <c r="C21" s="12">
        <v>1</v>
      </c>
      <c r="D21" s="12" t="s">
        <v>21</v>
      </c>
      <c r="E21" s="12">
        <f>(91)*(1)*(1 + (0))</f>
        <v>91</v>
      </c>
      <c r="F21" s="12">
        <f t="shared" si="1"/>
        <v>91</v>
      </c>
    </row>
    <row r="22" spans="1:6" ht="30">
      <c r="A22" s="3"/>
      <c r="B22" s="5" t="s">
        <v>33</v>
      </c>
      <c r="C22" s="12">
        <v>1</v>
      </c>
      <c r="D22" s="12" t="s">
        <v>21</v>
      </c>
      <c r="E22" s="12">
        <f>(540)*(1)*(1 + (0))</f>
        <v>540</v>
      </c>
      <c r="F22" s="12">
        <f t="shared" si="1"/>
        <v>540</v>
      </c>
    </row>
    <row r="23" spans="1:6" ht="30">
      <c r="A23" s="3"/>
      <c r="B23" s="5" t="s">
        <v>34</v>
      </c>
      <c r="C23" s="12">
        <v>1</v>
      </c>
      <c r="D23" s="12" t="s">
        <v>19</v>
      </c>
      <c r="E23" s="12">
        <f>(1000)*(1)*(1 + (0))</f>
        <v>1000</v>
      </c>
      <c r="F23" s="12">
        <f t="shared" si="1"/>
        <v>1000</v>
      </c>
    </row>
    <row r="24" spans="1:6">
      <c r="A24" s="3"/>
      <c r="B24" s="5" t="s">
        <v>35</v>
      </c>
      <c r="C24" s="12">
        <v>2</v>
      </c>
      <c r="D24" s="12" t="s">
        <v>21</v>
      </c>
      <c r="E24" s="12">
        <f>(100)*(1)*(1 + (0))</f>
        <v>100</v>
      </c>
      <c r="F24" s="12">
        <f t="shared" si="1"/>
        <v>200</v>
      </c>
    </row>
    <row r="25" spans="1:6" ht="18.75">
      <c r="A25" s="2"/>
      <c r="B25" s="8" t="s">
        <v>36</v>
      </c>
      <c r="C25" s="11"/>
      <c r="D25" s="11"/>
      <c r="E25" s="11"/>
      <c r="F25" s="11"/>
    </row>
    <row r="26" spans="1:6" ht="60">
      <c r="A26" s="3"/>
      <c r="B26" s="5" t="s">
        <v>37</v>
      </c>
      <c r="C26" s="12">
        <v>760.46117928726767</v>
      </c>
      <c r="D26" s="12" t="s">
        <v>17</v>
      </c>
      <c r="E26" s="12">
        <f>(2)*(1)*(1 + (0))</f>
        <v>2</v>
      </c>
      <c r="F26" s="12">
        <f>C26*E26</f>
        <v>1520.9223585745353</v>
      </c>
    </row>
    <row r="27" spans="1:6" ht="30">
      <c r="A27" s="3"/>
      <c r="B27" s="5" t="s">
        <v>38</v>
      </c>
      <c r="C27" s="12">
        <v>1</v>
      </c>
      <c r="D27" s="12" t="s">
        <v>19</v>
      </c>
      <c r="E27" s="12">
        <f>(720)*(1)*(1 + (0))</f>
        <v>720</v>
      </c>
      <c r="F27" s="12">
        <f>C27*E27</f>
        <v>720</v>
      </c>
    </row>
    <row r="28" spans="1:6" ht="30">
      <c r="A28" s="3"/>
      <c r="B28" s="5" t="s">
        <v>39</v>
      </c>
      <c r="C28" s="12">
        <v>1</v>
      </c>
      <c r="D28" s="12" t="s">
        <v>17</v>
      </c>
      <c r="E28" s="12">
        <f>(1200)*(1)*(1 + (0))</f>
        <v>1200</v>
      </c>
      <c r="F28" s="12">
        <f>C28*E28</f>
        <v>1200</v>
      </c>
    </row>
    <row r="29" spans="1:6" ht="18.75">
      <c r="A29" s="2"/>
      <c r="B29" s="8" t="s">
        <v>40</v>
      </c>
      <c r="C29" s="11"/>
      <c r="D29" s="11"/>
      <c r="E29" s="11"/>
      <c r="F29" s="11"/>
    </row>
    <row r="30" spans="1:6" ht="30">
      <c r="A30" s="3"/>
      <c r="B30" s="5" t="s">
        <v>41</v>
      </c>
      <c r="C30" s="12">
        <v>8</v>
      </c>
      <c r="D30" s="12" t="s">
        <v>42</v>
      </c>
      <c r="E30" s="12">
        <f>(200)*(1)*(1 + (0))</f>
        <v>200</v>
      </c>
      <c r="F30" s="12">
        <f>C30*E30</f>
        <v>1600</v>
      </c>
    </row>
    <row r="31" spans="1:6" ht="30">
      <c r="A31" s="3"/>
      <c r="B31" s="5" t="s">
        <v>43</v>
      </c>
      <c r="C31" s="12">
        <v>118</v>
      </c>
      <c r="D31" s="12" t="s">
        <v>44</v>
      </c>
      <c r="E31" s="12">
        <f>(15)*(1)*(1 + (0))</f>
        <v>15</v>
      </c>
      <c r="F31" s="12">
        <f>C31*E31</f>
        <v>1770</v>
      </c>
    </row>
    <row r="32" spans="1:6">
      <c r="A32" s="3"/>
      <c r="B32" s="5" t="s">
        <v>45</v>
      </c>
      <c r="C32" s="12">
        <v>6</v>
      </c>
      <c r="D32" s="12" t="s">
        <v>46</v>
      </c>
      <c r="E32" s="12">
        <f>(360)*(1)*(1 + (0))</f>
        <v>360</v>
      </c>
      <c r="F32" s="12">
        <f>C32*E32</f>
        <v>2160</v>
      </c>
    </row>
    <row r="33" spans="1:6" ht="18.75">
      <c r="A33" s="2"/>
      <c r="B33" s="8" t="s">
        <v>47</v>
      </c>
      <c r="C33" s="11"/>
      <c r="D33" s="11"/>
      <c r="E33" s="11"/>
      <c r="F33" s="11"/>
    </row>
    <row r="34" spans="1:6">
      <c r="A34" s="3"/>
      <c r="B34" s="5" t="s">
        <v>48</v>
      </c>
      <c r="C34" s="12">
        <v>40</v>
      </c>
      <c r="D34" s="12" t="s">
        <v>44</v>
      </c>
      <c r="E34" s="12">
        <f>(45)*(1)*(1 + (0))</f>
        <v>45</v>
      </c>
      <c r="F34" s="12">
        <f t="shared" ref="F34:F40" si="2">C34*E34</f>
        <v>1800</v>
      </c>
    </row>
    <row r="35" spans="1:6" ht="30">
      <c r="A35" s="3"/>
      <c r="B35" s="5" t="s">
        <v>49</v>
      </c>
      <c r="C35" s="12">
        <v>89.001113075429629</v>
      </c>
      <c r="D35" s="12" t="s">
        <v>44</v>
      </c>
      <c r="E35" s="12">
        <f>(45)*(1)*(1 + (0))</f>
        <v>45</v>
      </c>
      <c r="F35" s="12">
        <f t="shared" si="2"/>
        <v>4005.0500883943332</v>
      </c>
    </row>
    <row r="36" spans="1:6" ht="30">
      <c r="A36" s="3"/>
      <c r="B36" s="5" t="s">
        <v>50</v>
      </c>
      <c r="C36" s="12">
        <v>180</v>
      </c>
      <c r="D36" s="12" t="s">
        <v>44</v>
      </c>
      <c r="E36" s="12">
        <f>(25)*(1)*(1 + (0))</f>
        <v>25</v>
      </c>
      <c r="F36" s="12">
        <f t="shared" si="2"/>
        <v>4500</v>
      </c>
    </row>
    <row r="37" spans="1:6" ht="30">
      <c r="A37" s="3"/>
      <c r="B37" s="5" t="s">
        <v>51</v>
      </c>
      <c r="C37" s="12">
        <v>6</v>
      </c>
      <c r="D37" s="12" t="s">
        <v>21</v>
      </c>
      <c r="E37" s="12">
        <f>(1655)*(1)*(1 + (0))</f>
        <v>1655</v>
      </c>
      <c r="F37" s="12">
        <f t="shared" si="2"/>
        <v>9930</v>
      </c>
    </row>
    <row r="38" spans="1:6">
      <c r="A38" s="3"/>
      <c r="B38" s="5" t="s">
        <v>52</v>
      </c>
      <c r="C38" s="12">
        <v>6</v>
      </c>
      <c r="D38" s="12" t="s">
        <v>21</v>
      </c>
      <c r="E38" s="12">
        <f>(500)*(1)*(1 + (0))</f>
        <v>500</v>
      </c>
      <c r="F38" s="12">
        <f t="shared" si="2"/>
        <v>3000</v>
      </c>
    </row>
    <row r="39" spans="1:6">
      <c r="A39" s="3"/>
      <c r="B39" s="5" t="s">
        <v>53</v>
      </c>
      <c r="C39" s="12">
        <v>2</v>
      </c>
      <c r="D39" s="12" t="s">
        <v>21</v>
      </c>
      <c r="E39" s="12">
        <f>(500)*(1)*(1 + (0))</f>
        <v>500</v>
      </c>
      <c r="F39" s="12">
        <f t="shared" si="2"/>
        <v>1000</v>
      </c>
    </row>
    <row r="40" spans="1:6">
      <c r="A40" s="3"/>
      <c r="B40" s="5" t="s">
        <v>54</v>
      </c>
      <c r="C40" s="12">
        <v>1</v>
      </c>
      <c r="D40" s="12" t="s">
        <v>21</v>
      </c>
      <c r="E40" s="12">
        <f>(1300)*(1)*(1 + (0))</f>
        <v>1300</v>
      </c>
      <c r="F40" s="12">
        <f t="shared" si="2"/>
        <v>1300</v>
      </c>
    </row>
    <row r="41" spans="1:6" ht="18.75">
      <c r="A41" s="2"/>
      <c r="B41" s="8" t="s">
        <v>55</v>
      </c>
      <c r="C41" s="11"/>
      <c r="D41" s="11"/>
      <c r="E41" s="11"/>
      <c r="F41" s="11"/>
    </row>
    <row r="42" spans="1:6" ht="30">
      <c r="A42" s="3"/>
      <c r="B42" s="5" t="s">
        <v>56</v>
      </c>
      <c r="C42" s="12">
        <v>350</v>
      </c>
      <c r="D42" s="12" t="s">
        <v>8</v>
      </c>
      <c r="E42" s="12">
        <f>(3.3)*(1)*(1 + (0))</f>
        <v>3.3</v>
      </c>
      <c r="F42" s="12">
        <f>C42*E42</f>
        <v>1155</v>
      </c>
    </row>
    <row r="43" spans="1:6" ht="30">
      <c r="A43" s="3"/>
      <c r="B43" s="5" t="s">
        <v>57</v>
      </c>
      <c r="C43" s="12">
        <v>113</v>
      </c>
      <c r="D43" s="12" t="s">
        <v>44</v>
      </c>
      <c r="E43" s="12">
        <f>(5.5)*(1)*(1 + (0))</f>
        <v>5.5</v>
      </c>
      <c r="F43" s="12">
        <f>C43*E43</f>
        <v>621.5</v>
      </c>
    </row>
    <row r="44" spans="1:6" ht="18.75">
      <c r="A44" s="2"/>
      <c r="B44" s="8" t="s">
        <v>58</v>
      </c>
      <c r="C44" s="11"/>
      <c r="D44" s="11"/>
      <c r="E44" s="11"/>
      <c r="F44" s="11"/>
    </row>
    <row r="45" spans="1:6" ht="45">
      <c r="A45" s="3"/>
      <c r="B45" s="5" t="s">
        <v>59</v>
      </c>
      <c r="C45" s="12">
        <v>55.800000000000004</v>
      </c>
      <c r="D45" s="12" t="s">
        <v>60</v>
      </c>
      <c r="E45" s="12">
        <f>(460)*(1)*(1 + (0))</f>
        <v>460</v>
      </c>
      <c r="F45" s="12">
        <f t="shared" ref="F45:F52" si="3">C45*E45</f>
        <v>25668.000000000004</v>
      </c>
    </row>
    <row r="46" spans="1:6">
      <c r="A46" s="3"/>
      <c r="B46" s="5" t="s">
        <v>61</v>
      </c>
      <c r="C46" s="12">
        <v>8.0909517403644315</v>
      </c>
      <c r="D46" s="12" t="s">
        <v>8</v>
      </c>
      <c r="E46" s="12">
        <f>(135)*(1)*(1 + (0))</f>
        <v>135</v>
      </c>
      <c r="F46" s="12">
        <f t="shared" si="3"/>
        <v>1092.2784849491982</v>
      </c>
    </row>
    <row r="47" spans="1:6" ht="30">
      <c r="A47" s="3"/>
      <c r="B47" s="5" t="s">
        <v>62</v>
      </c>
      <c r="C47" s="12">
        <v>113</v>
      </c>
      <c r="D47" s="12" t="s">
        <v>44</v>
      </c>
      <c r="E47" s="12">
        <f>(42)*(1)*(1 + (0))</f>
        <v>42</v>
      </c>
      <c r="F47" s="12">
        <f t="shared" si="3"/>
        <v>4746</v>
      </c>
    </row>
    <row r="48" spans="1:6">
      <c r="A48" s="3"/>
      <c r="B48" s="5" t="s">
        <v>63</v>
      </c>
      <c r="C48" s="12">
        <v>6.2</v>
      </c>
      <c r="D48" s="12" t="s">
        <v>60</v>
      </c>
      <c r="E48" s="12">
        <f>(460)*(1)*(1 + (0))</f>
        <v>460</v>
      </c>
      <c r="F48" s="12">
        <f t="shared" si="3"/>
        <v>2852</v>
      </c>
    </row>
    <row r="49" spans="1:6">
      <c r="A49" s="3"/>
      <c r="B49" s="5" t="s">
        <v>64</v>
      </c>
      <c r="C49" s="12">
        <v>4</v>
      </c>
      <c r="D49" s="12" t="s">
        <v>60</v>
      </c>
      <c r="E49" s="12">
        <f>(200)*(1)*(1 + (0))</f>
        <v>200</v>
      </c>
      <c r="F49" s="12">
        <f t="shared" si="3"/>
        <v>800</v>
      </c>
    </row>
    <row r="50" spans="1:6" ht="30">
      <c r="A50" s="3"/>
      <c r="B50" s="5" t="s">
        <v>65</v>
      </c>
      <c r="C50" s="12">
        <v>8</v>
      </c>
      <c r="D50" s="12" t="s">
        <v>42</v>
      </c>
      <c r="E50" s="12">
        <f>(180)*(1)*(1 + (0))</f>
        <v>180</v>
      </c>
      <c r="F50" s="12">
        <f t="shared" si="3"/>
        <v>1440</v>
      </c>
    </row>
    <row r="51" spans="1:6">
      <c r="A51" s="3"/>
      <c r="B51" s="5" t="s">
        <v>66</v>
      </c>
      <c r="C51" s="12">
        <v>4</v>
      </c>
      <c r="D51" s="12" t="s">
        <v>42</v>
      </c>
      <c r="E51" s="12">
        <f>(180)*(1)*(1 + (0))</f>
        <v>180</v>
      </c>
      <c r="F51" s="12">
        <f t="shared" si="3"/>
        <v>720</v>
      </c>
    </row>
    <row r="52" spans="1:6" ht="30">
      <c r="A52" s="3"/>
      <c r="B52" s="5" t="s">
        <v>67</v>
      </c>
      <c r="C52" s="12">
        <v>62</v>
      </c>
      <c r="D52" s="12" t="s">
        <v>60</v>
      </c>
      <c r="E52" s="12">
        <f>(7.5)*(1)*(1 + (0))</f>
        <v>7.5</v>
      </c>
      <c r="F52" s="12">
        <f t="shared" si="3"/>
        <v>465</v>
      </c>
    </row>
    <row r="53" spans="1:6" ht="18.75">
      <c r="A53" s="2"/>
      <c r="B53" s="8" t="s">
        <v>68</v>
      </c>
      <c r="C53" s="11"/>
      <c r="D53" s="11"/>
      <c r="E53" s="11"/>
      <c r="F53" s="11"/>
    </row>
    <row r="54" spans="1:6">
      <c r="A54" s="3"/>
      <c r="B54" s="5" t="s">
        <v>69</v>
      </c>
      <c r="C54" s="12">
        <v>5</v>
      </c>
      <c r="D54" s="12" t="s">
        <v>60</v>
      </c>
      <c r="E54" s="12">
        <f>(48)*(1)*(1 + (0))</f>
        <v>48</v>
      </c>
      <c r="F54" s="12">
        <f t="shared" ref="F54:F62" si="4">C54*E54</f>
        <v>240</v>
      </c>
    </row>
    <row r="55" spans="1:6">
      <c r="A55" s="3"/>
      <c r="B55" s="5" t="s">
        <v>70</v>
      </c>
      <c r="C55" s="12">
        <v>2</v>
      </c>
      <c r="D55" s="12" t="s">
        <v>21</v>
      </c>
      <c r="E55" s="12">
        <f>(14)*(1)*(1 + (0))</f>
        <v>14</v>
      </c>
      <c r="F55" s="12">
        <f t="shared" si="4"/>
        <v>28</v>
      </c>
    </row>
    <row r="56" spans="1:6" ht="30">
      <c r="A56" s="3"/>
      <c r="B56" s="5" t="s">
        <v>71</v>
      </c>
      <c r="C56" s="12">
        <v>40</v>
      </c>
      <c r="D56" s="12" t="s">
        <v>21</v>
      </c>
      <c r="E56" s="12">
        <f>(7.2)*(1)*(1 + (0))</f>
        <v>7.2</v>
      </c>
      <c r="F56" s="12">
        <f t="shared" si="4"/>
        <v>288</v>
      </c>
    </row>
    <row r="57" spans="1:6">
      <c r="A57" s="3"/>
      <c r="B57" s="5" t="s">
        <v>72</v>
      </c>
      <c r="C57" s="12">
        <v>20</v>
      </c>
      <c r="D57" s="12" t="s">
        <v>21</v>
      </c>
      <c r="E57" s="12">
        <f>(9.5)*(1)*(1 + (0))</f>
        <v>9.5</v>
      </c>
      <c r="F57" s="12">
        <f t="shared" si="4"/>
        <v>190</v>
      </c>
    </row>
    <row r="58" spans="1:6">
      <c r="A58" s="3"/>
      <c r="B58" s="5" t="s">
        <v>73</v>
      </c>
      <c r="C58" s="12">
        <v>3</v>
      </c>
      <c r="D58" s="12" t="s">
        <v>21</v>
      </c>
      <c r="E58" s="12">
        <f>(5)*(1)*(1 + (0))</f>
        <v>5</v>
      </c>
      <c r="F58" s="12">
        <f t="shared" si="4"/>
        <v>15</v>
      </c>
    </row>
    <row r="59" spans="1:6">
      <c r="A59" s="3"/>
      <c r="B59" s="5" t="s">
        <v>74</v>
      </c>
      <c r="C59" s="12">
        <v>2</v>
      </c>
      <c r="D59" s="12" t="s">
        <v>21</v>
      </c>
      <c r="E59" s="12">
        <f>(19)*(1)*(1 + (0))</f>
        <v>19</v>
      </c>
      <c r="F59" s="12">
        <f t="shared" si="4"/>
        <v>38</v>
      </c>
    </row>
    <row r="60" spans="1:6">
      <c r="A60" s="3"/>
      <c r="B60" s="5" t="s">
        <v>75</v>
      </c>
      <c r="C60" s="12">
        <v>1</v>
      </c>
      <c r="D60" s="12" t="s">
        <v>21</v>
      </c>
      <c r="E60" s="12">
        <f>(45)*(1)*(1 + (0))</f>
        <v>45</v>
      </c>
      <c r="F60" s="12">
        <f t="shared" si="4"/>
        <v>45</v>
      </c>
    </row>
    <row r="61" spans="1:6">
      <c r="A61" s="3"/>
      <c r="B61" s="5" t="s">
        <v>76</v>
      </c>
      <c r="C61" s="12">
        <v>5072</v>
      </c>
      <c r="D61" s="12" t="s">
        <v>8</v>
      </c>
      <c r="E61" s="12">
        <f>(0.55)*(1)*(1 + (0))</f>
        <v>0.55000000000000004</v>
      </c>
      <c r="F61" s="12">
        <f t="shared" si="4"/>
        <v>2789.6000000000004</v>
      </c>
    </row>
    <row r="62" spans="1:6" ht="30">
      <c r="A62" s="3"/>
      <c r="B62" s="5" t="s">
        <v>77</v>
      </c>
      <c r="C62" s="12">
        <v>5100</v>
      </c>
      <c r="D62" s="12" t="s">
        <v>21</v>
      </c>
      <c r="E62" s="12">
        <f>(0.9)*(1)*(1 + (0))</f>
        <v>0.9</v>
      </c>
      <c r="F62" s="12">
        <f t="shared" si="4"/>
        <v>4590</v>
      </c>
    </row>
    <row r="63" spans="1:6" ht="18.75">
      <c r="A63" s="2"/>
      <c r="B63" s="8" t="s">
        <v>78</v>
      </c>
      <c r="C63" s="11"/>
      <c r="D63" s="11"/>
      <c r="E63" s="11"/>
      <c r="F63" s="11"/>
    </row>
    <row r="64" spans="1:6" ht="15.75">
      <c r="A64" s="4"/>
      <c r="B64" s="9" t="s">
        <v>79</v>
      </c>
      <c r="C64" s="13"/>
      <c r="D64" s="13"/>
      <c r="E64" s="13"/>
      <c r="F64" s="13"/>
    </row>
    <row r="65" spans="1:6">
      <c r="A65" s="3"/>
      <c r="B65" s="10" t="s">
        <v>80</v>
      </c>
      <c r="C65" s="12">
        <v>48</v>
      </c>
      <c r="D65" s="12" t="s">
        <v>42</v>
      </c>
      <c r="E65" s="12">
        <f t="shared" ref="E65:E78" si="5">(50)*(1)*(1 + (0))</f>
        <v>50</v>
      </c>
      <c r="F65" s="12">
        <f t="shared" ref="F65:F110" si="6">C65*E65</f>
        <v>2400</v>
      </c>
    </row>
    <row r="66" spans="1:6">
      <c r="A66" s="3"/>
      <c r="B66" s="10" t="s">
        <v>81</v>
      </c>
      <c r="C66" s="12">
        <v>48</v>
      </c>
      <c r="D66" s="12" t="s">
        <v>42</v>
      </c>
      <c r="E66" s="12">
        <f t="shared" si="5"/>
        <v>50</v>
      </c>
      <c r="F66" s="12">
        <f t="shared" si="6"/>
        <v>2400</v>
      </c>
    </row>
    <row r="67" spans="1:6">
      <c r="A67" s="3"/>
      <c r="B67" s="10" t="s">
        <v>82</v>
      </c>
      <c r="C67" s="12">
        <v>96</v>
      </c>
      <c r="D67" s="12" t="s">
        <v>42</v>
      </c>
      <c r="E67" s="12">
        <f t="shared" si="5"/>
        <v>50</v>
      </c>
      <c r="F67" s="12">
        <f t="shared" si="6"/>
        <v>4800</v>
      </c>
    </row>
    <row r="68" spans="1:6">
      <c r="A68" s="3"/>
      <c r="B68" s="10" t="s">
        <v>83</v>
      </c>
      <c r="C68" s="12">
        <v>48</v>
      </c>
      <c r="D68" s="12" t="s">
        <v>42</v>
      </c>
      <c r="E68" s="12">
        <f t="shared" si="5"/>
        <v>50</v>
      </c>
      <c r="F68" s="12">
        <f t="shared" si="6"/>
        <v>2400</v>
      </c>
    </row>
    <row r="69" spans="1:6">
      <c r="A69" s="3"/>
      <c r="B69" s="10" t="s">
        <v>84</v>
      </c>
      <c r="C69" s="12">
        <v>24</v>
      </c>
      <c r="D69" s="12" t="s">
        <v>42</v>
      </c>
      <c r="E69" s="12">
        <f t="shared" si="5"/>
        <v>50</v>
      </c>
      <c r="F69" s="12">
        <f t="shared" si="6"/>
        <v>1200</v>
      </c>
    </row>
    <row r="70" spans="1:6">
      <c r="A70" s="3"/>
      <c r="B70" s="10" t="s">
        <v>85</v>
      </c>
      <c r="C70" s="12">
        <v>120</v>
      </c>
      <c r="D70" s="12" t="s">
        <v>42</v>
      </c>
      <c r="E70" s="12">
        <f t="shared" si="5"/>
        <v>50</v>
      </c>
      <c r="F70" s="12">
        <f t="shared" si="6"/>
        <v>6000</v>
      </c>
    </row>
    <row r="71" spans="1:6">
      <c r="A71" s="3"/>
      <c r="B71" s="10" t="s">
        <v>86</v>
      </c>
      <c r="C71" s="12">
        <v>24</v>
      </c>
      <c r="D71" s="12" t="s">
        <v>42</v>
      </c>
      <c r="E71" s="12">
        <f t="shared" si="5"/>
        <v>50</v>
      </c>
      <c r="F71" s="12">
        <f t="shared" si="6"/>
        <v>1200</v>
      </c>
    </row>
    <row r="72" spans="1:6">
      <c r="A72" s="3"/>
      <c r="B72" s="10" t="s">
        <v>87</v>
      </c>
      <c r="C72" s="12">
        <v>48</v>
      </c>
      <c r="D72" s="12" t="s">
        <v>42</v>
      </c>
      <c r="E72" s="12">
        <f t="shared" si="5"/>
        <v>50</v>
      </c>
      <c r="F72" s="12">
        <f t="shared" si="6"/>
        <v>2400</v>
      </c>
    </row>
    <row r="73" spans="1:6">
      <c r="A73" s="3"/>
      <c r="B73" s="10" t="s">
        <v>88</v>
      </c>
      <c r="C73" s="12">
        <v>120</v>
      </c>
      <c r="D73" s="12" t="s">
        <v>42</v>
      </c>
      <c r="E73" s="12">
        <f t="shared" si="5"/>
        <v>50</v>
      </c>
      <c r="F73" s="12">
        <f t="shared" si="6"/>
        <v>6000</v>
      </c>
    </row>
    <row r="74" spans="1:6">
      <c r="A74" s="3"/>
      <c r="B74" s="10" t="s">
        <v>89</v>
      </c>
      <c r="C74" s="12">
        <v>48</v>
      </c>
      <c r="D74" s="12" t="s">
        <v>42</v>
      </c>
      <c r="E74" s="12">
        <f t="shared" si="5"/>
        <v>50</v>
      </c>
      <c r="F74" s="12">
        <f t="shared" si="6"/>
        <v>2400</v>
      </c>
    </row>
    <row r="75" spans="1:6">
      <c r="A75" s="3"/>
      <c r="B75" s="10" t="s">
        <v>90</v>
      </c>
      <c r="C75" s="12">
        <v>48</v>
      </c>
      <c r="D75" s="12" t="s">
        <v>42</v>
      </c>
      <c r="E75" s="12">
        <f t="shared" si="5"/>
        <v>50</v>
      </c>
      <c r="F75" s="12">
        <f t="shared" si="6"/>
        <v>2400</v>
      </c>
    </row>
    <row r="76" spans="1:6">
      <c r="A76" s="3"/>
      <c r="B76" s="10" t="s">
        <v>91</v>
      </c>
      <c r="C76" s="12">
        <v>48</v>
      </c>
      <c r="D76" s="12" t="s">
        <v>42</v>
      </c>
      <c r="E76" s="12">
        <f t="shared" si="5"/>
        <v>50</v>
      </c>
      <c r="F76" s="12">
        <f t="shared" si="6"/>
        <v>2400</v>
      </c>
    </row>
    <row r="77" spans="1:6">
      <c r="A77" s="3"/>
      <c r="B77" s="10" t="s">
        <v>92</v>
      </c>
      <c r="C77" s="12">
        <v>48</v>
      </c>
      <c r="D77" s="12" t="s">
        <v>42</v>
      </c>
      <c r="E77" s="12">
        <f t="shared" si="5"/>
        <v>50</v>
      </c>
      <c r="F77" s="12">
        <f t="shared" si="6"/>
        <v>2400</v>
      </c>
    </row>
    <row r="78" spans="1:6">
      <c r="A78" s="3"/>
      <c r="B78" s="10" t="s">
        <v>93</v>
      </c>
      <c r="C78" s="12">
        <v>48</v>
      </c>
      <c r="D78" s="12" t="s">
        <v>42</v>
      </c>
      <c r="E78" s="12">
        <f t="shared" si="5"/>
        <v>50</v>
      </c>
      <c r="F78" s="12">
        <f t="shared" si="6"/>
        <v>2400</v>
      </c>
    </row>
    <row r="79" spans="1:6" ht="30">
      <c r="A79" s="3"/>
      <c r="B79" s="5" t="s">
        <v>94</v>
      </c>
      <c r="C79" s="12">
        <v>1</v>
      </c>
      <c r="D79" s="12" t="s">
        <v>19</v>
      </c>
      <c r="E79" s="12">
        <f>(1200)*(1)*(1 + (0))</f>
        <v>1200</v>
      </c>
      <c r="F79" s="12">
        <f t="shared" si="6"/>
        <v>1200</v>
      </c>
    </row>
    <row r="80" spans="1:6" ht="30">
      <c r="A80" s="3"/>
      <c r="B80" s="5" t="s">
        <v>95</v>
      </c>
      <c r="C80" s="12">
        <v>118</v>
      </c>
      <c r="D80" s="12" t="s">
        <v>96</v>
      </c>
      <c r="E80" s="12">
        <f>(3.5)*(1)*(1 + (0))</f>
        <v>3.5</v>
      </c>
      <c r="F80" s="12">
        <f t="shared" si="6"/>
        <v>413</v>
      </c>
    </row>
    <row r="81" spans="1:6">
      <c r="A81" s="3"/>
      <c r="B81" s="5" t="s">
        <v>97</v>
      </c>
      <c r="C81" s="12">
        <v>5</v>
      </c>
      <c r="D81" s="12" t="s">
        <v>60</v>
      </c>
      <c r="E81" s="12">
        <f>(220)*(1)*(1 + (0))</f>
        <v>220</v>
      </c>
      <c r="F81" s="12">
        <f t="shared" si="6"/>
        <v>1100</v>
      </c>
    </row>
    <row r="82" spans="1:6">
      <c r="A82" s="3"/>
      <c r="B82" s="5" t="s">
        <v>98</v>
      </c>
      <c r="C82" s="12">
        <v>141.6</v>
      </c>
      <c r="D82" s="12" t="s">
        <v>44</v>
      </c>
      <c r="E82" s="12">
        <f>(9.7)*(1)*(1 + (0))</f>
        <v>9.6999999999999993</v>
      </c>
      <c r="F82" s="12">
        <f t="shared" si="6"/>
        <v>1373.5199999999998</v>
      </c>
    </row>
    <row r="83" spans="1:6" ht="30">
      <c r="A83" s="3"/>
      <c r="B83" s="5" t="s">
        <v>99</v>
      </c>
      <c r="C83" s="12">
        <v>118</v>
      </c>
      <c r="D83" s="12" t="s">
        <v>96</v>
      </c>
      <c r="E83" s="12">
        <f>(1.25)*(1)*(1 + (0))</f>
        <v>1.25</v>
      </c>
      <c r="F83" s="12">
        <f t="shared" si="6"/>
        <v>147.5</v>
      </c>
    </row>
    <row r="84" spans="1:6">
      <c r="A84" s="3"/>
      <c r="B84" s="5" t="s">
        <v>100</v>
      </c>
      <c r="C84" s="12">
        <v>2.3000000000000003</v>
      </c>
      <c r="D84" s="12" t="s">
        <v>60</v>
      </c>
      <c r="E84" s="12">
        <f>(650)*(1)*(1 + (0))</f>
        <v>650</v>
      </c>
      <c r="F84" s="12">
        <f t="shared" si="6"/>
        <v>1495.0000000000002</v>
      </c>
    </row>
    <row r="85" spans="1:6">
      <c r="A85" s="3"/>
      <c r="B85" s="5" t="s">
        <v>101</v>
      </c>
      <c r="C85" s="12">
        <v>665</v>
      </c>
      <c r="D85" s="12" t="s">
        <v>44</v>
      </c>
      <c r="E85" s="12">
        <f>(1.65)*(1)*(1 + (0))</f>
        <v>1.65</v>
      </c>
      <c r="F85" s="12">
        <f t="shared" si="6"/>
        <v>1097.25</v>
      </c>
    </row>
    <row r="86" spans="1:6">
      <c r="A86" s="3"/>
      <c r="B86" s="5" t="s">
        <v>102</v>
      </c>
      <c r="C86" s="12">
        <v>409.1</v>
      </c>
      <c r="D86" s="12" t="s">
        <v>44</v>
      </c>
      <c r="E86" s="12">
        <f>(2.2)*(1)*(1 + (0))</f>
        <v>2.2000000000000002</v>
      </c>
      <c r="F86" s="12">
        <f t="shared" si="6"/>
        <v>900.0200000000001</v>
      </c>
    </row>
    <row r="87" spans="1:6">
      <c r="A87" s="3"/>
      <c r="B87" s="5" t="s">
        <v>103</v>
      </c>
      <c r="C87" s="12">
        <v>725.4</v>
      </c>
      <c r="D87" s="12" t="s">
        <v>44</v>
      </c>
      <c r="E87" s="12">
        <f>(2.2)*(1)*(1 + (0))</f>
        <v>2.2000000000000002</v>
      </c>
      <c r="F87" s="12">
        <f t="shared" si="6"/>
        <v>1595.88</v>
      </c>
    </row>
    <row r="88" spans="1:6">
      <c r="A88" s="3"/>
      <c r="B88" s="5" t="s">
        <v>104</v>
      </c>
      <c r="C88" s="12">
        <v>972.00000000000011</v>
      </c>
      <c r="D88" s="12" t="s">
        <v>44</v>
      </c>
      <c r="E88" s="12">
        <f>(1.65)*(1)*(1 + (0))</f>
        <v>1.65</v>
      </c>
      <c r="F88" s="12">
        <f t="shared" si="6"/>
        <v>1603.8000000000002</v>
      </c>
    </row>
    <row r="89" spans="1:6">
      <c r="A89" s="3"/>
      <c r="B89" s="5" t="s">
        <v>105</v>
      </c>
      <c r="C89" s="12">
        <v>225.3</v>
      </c>
      <c r="D89" s="12" t="s">
        <v>44</v>
      </c>
      <c r="E89" s="12">
        <f>(4.2)*(1)*(1 + (0))</f>
        <v>4.2</v>
      </c>
      <c r="F89" s="12">
        <f t="shared" si="6"/>
        <v>946.2600000000001</v>
      </c>
    </row>
    <row r="90" spans="1:6">
      <c r="A90" s="3"/>
      <c r="B90" s="5" t="s">
        <v>106</v>
      </c>
      <c r="C90" s="12">
        <v>137.1</v>
      </c>
      <c r="D90" s="12" t="s">
        <v>44</v>
      </c>
      <c r="E90" s="12">
        <f>(6)*(1)*(1 + (0))</f>
        <v>6</v>
      </c>
      <c r="F90" s="12">
        <f t="shared" si="6"/>
        <v>822.59999999999991</v>
      </c>
    </row>
    <row r="91" spans="1:6">
      <c r="A91" s="3"/>
      <c r="B91" s="5" t="s">
        <v>107</v>
      </c>
      <c r="C91" s="12">
        <v>111.60000000000001</v>
      </c>
      <c r="D91" s="12" t="s">
        <v>44</v>
      </c>
      <c r="E91" s="12">
        <f>(7.5)*(1)*(1 + (0))</f>
        <v>7.5</v>
      </c>
      <c r="F91" s="12">
        <f t="shared" si="6"/>
        <v>837.00000000000011</v>
      </c>
    </row>
    <row r="92" spans="1:6">
      <c r="A92" s="3"/>
      <c r="B92" s="5" t="s">
        <v>108</v>
      </c>
      <c r="C92" s="12">
        <v>9.6</v>
      </c>
      <c r="D92" s="12" t="s">
        <v>44</v>
      </c>
      <c r="E92" s="12">
        <f>(10.5)*(1)*(1 + (0))</f>
        <v>10.5</v>
      </c>
      <c r="F92" s="12">
        <f t="shared" si="6"/>
        <v>100.8</v>
      </c>
    </row>
    <row r="93" spans="1:6">
      <c r="A93" s="3"/>
      <c r="B93" s="5" t="s">
        <v>109</v>
      </c>
      <c r="C93" s="12">
        <v>30</v>
      </c>
      <c r="D93" s="12" t="s">
        <v>44</v>
      </c>
      <c r="E93" s="12">
        <f>(5.2)*(1)*(1 + (0))</f>
        <v>5.2</v>
      </c>
      <c r="F93" s="12">
        <f t="shared" si="6"/>
        <v>156</v>
      </c>
    </row>
    <row r="94" spans="1:6">
      <c r="A94" s="3"/>
      <c r="B94" s="5" t="s">
        <v>110</v>
      </c>
      <c r="C94" s="12">
        <v>10.8</v>
      </c>
      <c r="D94" s="12" t="s">
        <v>44</v>
      </c>
      <c r="E94" s="12">
        <f>(11.9)*(1)*(1 + (0))</f>
        <v>11.9</v>
      </c>
      <c r="F94" s="12">
        <f t="shared" si="6"/>
        <v>128.52000000000001</v>
      </c>
    </row>
    <row r="95" spans="1:6">
      <c r="A95" s="3"/>
      <c r="B95" s="5" t="s">
        <v>111</v>
      </c>
      <c r="C95" s="12">
        <v>36</v>
      </c>
      <c r="D95" s="12" t="s">
        <v>44</v>
      </c>
      <c r="E95" s="12">
        <f>(16.6)*(1)*(1 + (0))</f>
        <v>16.600000000000001</v>
      </c>
      <c r="F95" s="12">
        <f t="shared" si="6"/>
        <v>597.6</v>
      </c>
    </row>
    <row r="96" spans="1:6">
      <c r="A96" s="3"/>
      <c r="B96" s="5" t="s">
        <v>112</v>
      </c>
      <c r="C96" s="12">
        <v>8.4</v>
      </c>
      <c r="D96" s="12" t="s">
        <v>44</v>
      </c>
      <c r="E96" s="12">
        <f>(22.5)*(1)*(1 + (0))</f>
        <v>22.5</v>
      </c>
      <c r="F96" s="12">
        <f t="shared" si="6"/>
        <v>189</v>
      </c>
    </row>
    <row r="97" spans="1:6">
      <c r="A97" s="3"/>
      <c r="B97" s="5" t="s">
        <v>113</v>
      </c>
      <c r="C97" s="12">
        <v>1227.2999999999997</v>
      </c>
      <c r="D97" s="12" t="s">
        <v>44</v>
      </c>
      <c r="E97" s="12">
        <f>(3.98)*(1)*(1 + (0))</f>
        <v>3.98</v>
      </c>
      <c r="F97" s="12">
        <f t="shared" si="6"/>
        <v>4884.6539999999986</v>
      </c>
    </row>
    <row r="98" spans="1:6">
      <c r="A98" s="3"/>
      <c r="B98" s="5" t="s">
        <v>114</v>
      </c>
      <c r="C98" s="12">
        <v>12</v>
      </c>
      <c r="D98" s="12" t="s">
        <v>44</v>
      </c>
      <c r="E98" s="12">
        <f>(6)*(1)*(1 + (0))</f>
        <v>6</v>
      </c>
      <c r="F98" s="12">
        <f t="shared" si="6"/>
        <v>72</v>
      </c>
    </row>
    <row r="99" spans="1:6">
      <c r="A99" s="3"/>
      <c r="B99" s="5" t="s">
        <v>115</v>
      </c>
      <c r="C99" s="12">
        <v>70.2</v>
      </c>
      <c r="D99" s="12" t="s">
        <v>44</v>
      </c>
      <c r="E99" s="12">
        <f>(8)*(1)*(1 + (0))</f>
        <v>8</v>
      </c>
      <c r="F99" s="12">
        <f t="shared" si="6"/>
        <v>561.6</v>
      </c>
    </row>
    <row r="100" spans="1:6">
      <c r="A100" s="3"/>
      <c r="B100" s="5" t="s">
        <v>116</v>
      </c>
      <c r="C100" s="12">
        <v>28.799999999999997</v>
      </c>
      <c r="D100" s="12" t="s">
        <v>44</v>
      </c>
      <c r="E100" s="12">
        <f>(13.95)*(1)*(1 + (0))</f>
        <v>13.95</v>
      </c>
      <c r="F100" s="12">
        <f t="shared" si="6"/>
        <v>401.75999999999993</v>
      </c>
    </row>
    <row r="101" spans="1:6">
      <c r="A101" s="3"/>
      <c r="B101" s="5" t="s">
        <v>117</v>
      </c>
      <c r="C101" s="12">
        <v>84</v>
      </c>
      <c r="D101" s="12" t="s">
        <v>44</v>
      </c>
      <c r="E101" s="12">
        <f>(160)*(1)*(1 + (0))</f>
        <v>160</v>
      </c>
      <c r="F101" s="12">
        <f t="shared" si="6"/>
        <v>13440</v>
      </c>
    </row>
    <row r="102" spans="1:6">
      <c r="A102" s="3"/>
      <c r="B102" s="5" t="s">
        <v>118</v>
      </c>
      <c r="C102" s="12">
        <v>14.4</v>
      </c>
      <c r="D102" s="12" t="s">
        <v>44</v>
      </c>
      <c r="E102" s="12">
        <f>(180)*(1)*(1 + (0))</f>
        <v>180</v>
      </c>
      <c r="F102" s="12">
        <f t="shared" si="6"/>
        <v>2592</v>
      </c>
    </row>
    <row r="103" spans="1:6" ht="30">
      <c r="A103" s="3"/>
      <c r="B103" s="5" t="s">
        <v>119</v>
      </c>
      <c r="C103" s="12">
        <v>73</v>
      </c>
      <c r="D103" s="12" t="s">
        <v>21</v>
      </c>
      <c r="E103" s="12">
        <f>(34.5)*(1)*(1 + (0))</f>
        <v>34.5</v>
      </c>
      <c r="F103" s="12">
        <f t="shared" si="6"/>
        <v>2518.5</v>
      </c>
    </row>
    <row r="104" spans="1:6">
      <c r="A104" s="3"/>
      <c r="B104" s="5" t="s">
        <v>120</v>
      </c>
      <c r="C104" s="12">
        <v>5</v>
      </c>
      <c r="D104" s="12" t="s">
        <v>21</v>
      </c>
      <c r="E104" s="12">
        <f>(50)*(1)*(1 + (0))</f>
        <v>50</v>
      </c>
      <c r="F104" s="12">
        <f t="shared" si="6"/>
        <v>250</v>
      </c>
    </row>
    <row r="105" spans="1:6">
      <c r="A105" s="3"/>
      <c r="B105" s="5" t="s">
        <v>121</v>
      </c>
      <c r="C105" s="12">
        <v>17</v>
      </c>
      <c r="D105" s="12" t="s">
        <v>21</v>
      </c>
      <c r="E105" s="12">
        <f>(86.4)*(1)*(1 + (0))</f>
        <v>86.4</v>
      </c>
      <c r="F105" s="12">
        <f t="shared" si="6"/>
        <v>1468.8000000000002</v>
      </c>
    </row>
    <row r="106" spans="1:6">
      <c r="A106" s="3"/>
      <c r="B106" s="5" t="s">
        <v>122</v>
      </c>
      <c r="C106" s="12">
        <v>35</v>
      </c>
      <c r="D106" s="12" t="s">
        <v>96</v>
      </c>
      <c r="E106" s="12">
        <f>(4)*(1)*(1 + (0))</f>
        <v>4</v>
      </c>
      <c r="F106" s="12">
        <f t="shared" si="6"/>
        <v>140</v>
      </c>
    </row>
    <row r="107" spans="1:6">
      <c r="A107" s="3"/>
      <c r="B107" s="5" t="s">
        <v>123</v>
      </c>
      <c r="C107" s="12">
        <v>12</v>
      </c>
      <c r="D107" s="12" t="s">
        <v>21</v>
      </c>
      <c r="E107" s="12">
        <f>(27.4)*(1)*(1 + (0))</f>
        <v>27.4</v>
      </c>
      <c r="F107" s="12">
        <f t="shared" si="6"/>
        <v>328.79999999999995</v>
      </c>
    </row>
    <row r="108" spans="1:6">
      <c r="A108" s="3"/>
      <c r="B108" s="5" t="s">
        <v>124</v>
      </c>
      <c r="C108" s="12">
        <v>18</v>
      </c>
      <c r="D108" s="12" t="s">
        <v>21</v>
      </c>
      <c r="E108" s="12">
        <f>(7.1)*(1)*(1 + (0))</f>
        <v>7.1</v>
      </c>
      <c r="F108" s="12">
        <f t="shared" si="6"/>
        <v>127.8</v>
      </c>
    </row>
    <row r="109" spans="1:6">
      <c r="A109" s="3"/>
      <c r="B109" s="5" t="s">
        <v>125</v>
      </c>
      <c r="C109" s="12">
        <v>255.05127252311635</v>
      </c>
      <c r="D109" s="12" t="s">
        <v>8</v>
      </c>
      <c r="E109" s="12">
        <f>(48)*(1)*(1 + (0))</f>
        <v>48</v>
      </c>
      <c r="F109" s="12">
        <f t="shared" si="6"/>
        <v>12242.461081109584</v>
      </c>
    </row>
    <row r="110" spans="1:6">
      <c r="A110" s="3"/>
      <c r="B110" s="5" t="s">
        <v>35</v>
      </c>
      <c r="C110" s="12">
        <v>4</v>
      </c>
      <c r="D110" s="12" t="s">
        <v>21</v>
      </c>
      <c r="E110" s="12">
        <f>(50)*(1)*(1 + (0))</f>
        <v>50</v>
      </c>
      <c r="F110" s="12">
        <f t="shared" si="6"/>
        <v>200</v>
      </c>
    </row>
    <row r="111" spans="1:6" ht="18.75">
      <c r="A111" s="2"/>
      <c r="B111" s="8" t="s">
        <v>126</v>
      </c>
      <c r="C111" s="11"/>
      <c r="D111" s="11"/>
      <c r="E111" s="11"/>
      <c r="F111" s="11"/>
    </row>
    <row r="112" spans="1:6" ht="45">
      <c r="A112" s="3"/>
      <c r="B112" s="5" t="s">
        <v>127</v>
      </c>
      <c r="C112" s="12">
        <v>1</v>
      </c>
      <c r="D112" s="12" t="s">
        <v>19</v>
      </c>
      <c r="E112" s="12">
        <f>(12705.34)*(1)*(1 + (0))</f>
        <v>12705.34</v>
      </c>
      <c r="F112" s="12">
        <f>C112*E112</f>
        <v>12705.34</v>
      </c>
    </row>
    <row r="113" spans="1:6" ht="18.75">
      <c r="A113" s="2"/>
      <c r="B113" s="8" t="s">
        <v>128</v>
      </c>
      <c r="C113" s="11"/>
      <c r="D113" s="11"/>
      <c r="E113" s="11"/>
      <c r="F113" s="11"/>
    </row>
    <row r="114" spans="1:6" ht="60">
      <c r="A114" s="3"/>
      <c r="B114" s="5" t="s">
        <v>129</v>
      </c>
      <c r="C114" s="12">
        <v>105.10375000000001</v>
      </c>
      <c r="D114" s="12" t="s">
        <v>8</v>
      </c>
      <c r="E114" s="12">
        <f>(600)*(1)*(1 + (0))</f>
        <v>600</v>
      </c>
      <c r="F114" s="12">
        <f t="shared" ref="F114:F119" si="7">C114*E114</f>
        <v>63062.25</v>
      </c>
    </row>
    <row r="115" spans="1:6" ht="45">
      <c r="A115" s="3"/>
      <c r="B115" s="5" t="s">
        <v>130</v>
      </c>
      <c r="C115" s="12">
        <v>1.7529999999999999</v>
      </c>
      <c r="D115" s="12" t="s">
        <v>8</v>
      </c>
      <c r="E115" s="12">
        <f>(850)*(1)*(1 + (0))</f>
        <v>850</v>
      </c>
      <c r="F115" s="12">
        <f t="shared" si="7"/>
        <v>1490.05</v>
      </c>
    </row>
    <row r="116" spans="1:6" ht="30">
      <c r="A116" s="3"/>
      <c r="B116" s="5" t="s">
        <v>131</v>
      </c>
      <c r="C116" s="12">
        <v>1.92</v>
      </c>
      <c r="D116" s="12" t="s">
        <v>8</v>
      </c>
      <c r="E116" s="12">
        <f>(600)*(1)*(1 + (0))</f>
        <v>600</v>
      </c>
      <c r="F116" s="12">
        <f t="shared" si="7"/>
        <v>1152</v>
      </c>
    </row>
    <row r="117" spans="1:6" ht="30">
      <c r="A117" s="3"/>
      <c r="B117" s="5" t="s">
        <v>132</v>
      </c>
      <c r="C117" s="12">
        <v>2.5</v>
      </c>
      <c r="D117" s="12" t="s">
        <v>8</v>
      </c>
      <c r="E117" s="12">
        <f>(400)*(1)*(1 + (0))</f>
        <v>400</v>
      </c>
      <c r="F117" s="12">
        <f t="shared" si="7"/>
        <v>1000</v>
      </c>
    </row>
    <row r="118" spans="1:6">
      <c r="A118" s="3"/>
      <c r="B118" s="5" t="s">
        <v>133</v>
      </c>
      <c r="C118" s="12">
        <v>14</v>
      </c>
      <c r="D118" s="12" t="s">
        <v>21</v>
      </c>
      <c r="E118" s="12">
        <f>(45)*(1)*(1 + (0))</f>
        <v>45</v>
      </c>
      <c r="F118" s="12">
        <f t="shared" si="7"/>
        <v>630</v>
      </c>
    </row>
    <row r="119" spans="1:6">
      <c r="A119" s="3"/>
      <c r="B119" s="5" t="s">
        <v>134</v>
      </c>
      <c r="C119" s="12">
        <v>5</v>
      </c>
      <c r="D119" s="12" t="s">
        <v>21</v>
      </c>
      <c r="E119" s="12">
        <f>(300)*(1)*(1 + (0))</f>
        <v>300</v>
      </c>
      <c r="F119" s="12">
        <f t="shared" si="7"/>
        <v>1500</v>
      </c>
    </row>
    <row r="120" spans="1:6" ht="18.75">
      <c r="A120" s="2"/>
      <c r="B120" s="8" t="s">
        <v>135</v>
      </c>
      <c r="C120" s="11"/>
      <c r="D120" s="11"/>
      <c r="E120" s="11"/>
      <c r="F120" s="11"/>
    </row>
    <row r="121" spans="1:6">
      <c r="A121" s="3"/>
      <c r="B121" s="5" t="s">
        <v>136</v>
      </c>
      <c r="C121" s="12">
        <v>474</v>
      </c>
      <c r="D121" s="12" t="s">
        <v>8</v>
      </c>
      <c r="E121" s="12">
        <f>(20)*(1)*(1 + (0.1))</f>
        <v>22</v>
      </c>
      <c r="F121" s="12">
        <f t="shared" ref="F121:F138" si="8">C121*E121</f>
        <v>10428</v>
      </c>
    </row>
    <row r="122" spans="1:6">
      <c r="A122" s="3"/>
      <c r="B122" s="5" t="s">
        <v>137</v>
      </c>
      <c r="C122" s="12">
        <v>247</v>
      </c>
      <c r="D122" s="12" t="s">
        <v>8</v>
      </c>
      <c r="E122" s="12">
        <f>(25)*(1)*(1 + (0.1))</f>
        <v>27.500000000000004</v>
      </c>
      <c r="F122" s="12">
        <f t="shared" si="8"/>
        <v>6792.5000000000009</v>
      </c>
    </row>
    <row r="123" spans="1:6">
      <c r="A123" s="3"/>
      <c r="B123" s="5" t="s">
        <v>138</v>
      </c>
      <c r="C123" s="12">
        <v>516</v>
      </c>
      <c r="D123" s="12" t="s">
        <v>44</v>
      </c>
      <c r="E123" s="12">
        <f>(10)*(1)*(1 + (0.1))</f>
        <v>11</v>
      </c>
      <c r="F123" s="12">
        <f t="shared" si="8"/>
        <v>5676</v>
      </c>
    </row>
    <row r="124" spans="1:6">
      <c r="A124" s="3"/>
      <c r="B124" s="5" t="s">
        <v>139</v>
      </c>
      <c r="C124" s="12">
        <v>35</v>
      </c>
      <c r="D124" s="12" t="s">
        <v>44</v>
      </c>
      <c r="E124" s="12">
        <f>(15)*(1)*(1 + (0.1))</f>
        <v>16.5</v>
      </c>
      <c r="F124" s="12">
        <f t="shared" si="8"/>
        <v>577.5</v>
      </c>
    </row>
    <row r="125" spans="1:6">
      <c r="A125" s="3"/>
      <c r="B125" s="5" t="s">
        <v>140</v>
      </c>
      <c r="C125" s="12">
        <v>4</v>
      </c>
      <c r="D125" s="12" t="s">
        <v>21</v>
      </c>
      <c r="E125" s="12">
        <f>(80)*(1)*(1 + (0.1))</f>
        <v>88</v>
      </c>
      <c r="F125" s="12">
        <f t="shared" si="8"/>
        <v>352</v>
      </c>
    </row>
    <row r="126" spans="1:6">
      <c r="A126" s="3"/>
      <c r="B126" s="5" t="s">
        <v>141</v>
      </c>
      <c r="C126" s="12">
        <v>1</v>
      </c>
      <c r="D126" s="12" t="s">
        <v>19</v>
      </c>
      <c r="E126" s="12">
        <f>(1500)*(1)*(1 + (0.1))</f>
        <v>1650.0000000000002</v>
      </c>
      <c r="F126" s="12">
        <f t="shared" si="8"/>
        <v>1650.0000000000002</v>
      </c>
    </row>
    <row r="127" spans="1:6">
      <c r="A127" s="3"/>
      <c r="B127" s="5" t="s">
        <v>142</v>
      </c>
      <c r="C127" s="12">
        <v>411</v>
      </c>
      <c r="D127" s="12" t="s">
        <v>8</v>
      </c>
      <c r="E127" s="12">
        <f>(15.5)*(1)*(1 + (0.1))</f>
        <v>17.05</v>
      </c>
      <c r="F127" s="12">
        <f t="shared" si="8"/>
        <v>7007.55</v>
      </c>
    </row>
    <row r="128" spans="1:6" ht="30">
      <c r="A128" s="3"/>
      <c r="B128" s="5" t="s">
        <v>143</v>
      </c>
      <c r="C128" s="12">
        <v>63</v>
      </c>
      <c r="D128" s="12" t="s">
        <v>8</v>
      </c>
      <c r="E128" s="12">
        <f>(15.5)*(1)*(1 + (0.1))</f>
        <v>17.05</v>
      </c>
      <c r="F128" s="12">
        <f t="shared" si="8"/>
        <v>1074.1500000000001</v>
      </c>
    </row>
    <row r="129" spans="1:6">
      <c r="A129" s="3"/>
      <c r="B129" s="5" t="s">
        <v>144</v>
      </c>
      <c r="C129" s="12">
        <v>120</v>
      </c>
      <c r="D129" s="12" t="s">
        <v>21</v>
      </c>
      <c r="E129" s="12">
        <f>(2.45)*(1)*(1 + (0.1))</f>
        <v>2.6950000000000003</v>
      </c>
      <c r="F129" s="12">
        <f t="shared" si="8"/>
        <v>323.40000000000003</v>
      </c>
    </row>
    <row r="130" spans="1:6" ht="30">
      <c r="A130" s="3"/>
      <c r="B130" s="5" t="s">
        <v>145</v>
      </c>
      <c r="C130" s="12">
        <v>247</v>
      </c>
      <c r="D130" s="12" t="s">
        <v>8</v>
      </c>
      <c r="E130" s="12">
        <f>(37.36)*(1)*(1 + (0.1))</f>
        <v>41.096000000000004</v>
      </c>
      <c r="F130" s="12">
        <f t="shared" si="8"/>
        <v>10150.712000000001</v>
      </c>
    </row>
    <row r="131" spans="1:6" ht="30">
      <c r="A131" s="3"/>
      <c r="B131" s="5" t="s">
        <v>146</v>
      </c>
      <c r="C131" s="12">
        <v>4</v>
      </c>
      <c r="D131" s="12" t="s">
        <v>21</v>
      </c>
      <c r="E131" s="12">
        <f>(7.75)*(1)*(1 + (0.1))</f>
        <v>8.5250000000000004</v>
      </c>
      <c r="F131" s="12">
        <f t="shared" si="8"/>
        <v>34.1</v>
      </c>
    </row>
    <row r="132" spans="1:6">
      <c r="A132" s="3"/>
      <c r="B132" s="5" t="s">
        <v>147</v>
      </c>
      <c r="C132" s="12">
        <v>245</v>
      </c>
      <c r="D132" s="12" t="s">
        <v>44</v>
      </c>
      <c r="E132" s="12">
        <f>(6.53)*(1)*(1 + (0.1))</f>
        <v>7.1830000000000007</v>
      </c>
      <c r="F132" s="12">
        <f t="shared" si="8"/>
        <v>1759.8350000000003</v>
      </c>
    </row>
    <row r="133" spans="1:6">
      <c r="A133" s="3"/>
      <c r="B133" s="5" t="s">
        <v>148</v>
      </c>
      <c r="C133" s="12">
        <v>271</v>
      </c>
      <c r="D133" s="12" t="s">
        <v>44</v>
      </c>
      <c r="E133" s="12">
        <f>(10.4)*(1)*(1 + (0.1))</f>
        <v>11.440000000000001</v>
      </c>
      <c r="F133" s="12">
        <f t="shared" si="8"/>
        <v>3100.2400000000002</v>
      </c>
    </row>
    <row r="134" spans="1:6">
      <c r="A134" s="3"/>
      <c r="B134" s="5" t="s">
        <v>149</v>
      </c>
      <c r="C134" s="12">
        <v>35</v>
      </c>
      <c r="D134" s="12" t="s">
        <v>44</v>
      </c>
      <c r="E134" s="12">
        <f>(17.1)*(1)*(1 + (0.1))</f>
        <v>18.810000000000002</v>
      </c>
      <c r="F134" s="12">
        <f t="shared" si="8"/>
        <v>658.35000000000014</v>
      </c>
    </row>
    <row r="135" spans="1:6">
      <c r="A135" s="3"/>
      <c r="B135" s="5" t="s">
        <v>150</v>
      </c>
      <c r="C135" s="12">
        <v>4</v>
      </c>
      <c r="D135" s="12" t="s">
        <v>21</v>
      </c>
      <c r="E135" s="12">
        <f>(65)*(1)*(1 + (0.1))</f>
        <v>71.5</v>
      </c>
      <c r="F135" s="12">
        <f t="shared" si="8"/>
        <v>286</v>
      </c>
    </row>
    <row r="136" spans="1:6" ht="30">
      <c r="A136" s="3"/>
      <c r="B136" s="5" t="s">
        <v>151</v>
      </c>
      <c r="C136" s="12">
        <f>(474/15/1.2)</f>
        <v>26.333333333333336</v>
      </c>
      <c r="D136" s="12" t="s">
        <v>21</v>
      </c>
      <c r="E136" s="12">
        <f>(143.5)*(1)*(1 + (0.1))</f>
        <v>157.85000000000002</v>
      </c>
      <c r="F136" s="12">
        <f t="shared" si="8"/>
        <v>4156.7166666666681</v>
      </c>
    </row>
    <row r="137" spans="1:6">
      <c r="A137" s="3"/>
      <c r="B137" s="5" t="s">
        <v>152</v>
      </c>
      <c r="C137" s="12">
        <v>1</v>
      </c>
      <c r="D137" s="12" t="s">
        <v>21</v>
      </c>
      <c r="E137" s="12">
        <f>(250)*(1)*(1 + (0.1))</f>
        <v>275</v>
      </c>
      <c r="F137" s="12">
        <f t="shared" si="8"/>
        <v>275</v>
      </c>
    </row>
    <row r="138" spans="1:6">
      <c r="A138" s="3"/>
      <c r="B138" s="5" t="s">
        <v>153</v>
      </c>
      <c r="C138" s="12">
        <v>2</v>
      </c>
      <c r="D138" s="12" t="s">
        <v>21</v>
      </c>
      <c r="E138" s="12">
        <f>(400)*(1)*(1 + (0.1))</f>
        <v>440.00000000000006</v>
      </c>
      <c r="F138" s="12">
        <f t="shared" si="8"/>
        <v>880.00000000000011</v>
      </c>
    </row>
    <row r="139" spans="1:6" ht="18.75">
      <c r="A139" s="2"/>
      <c r="B139" s="8" t="s">
        <v>154</v>
      </c>
      <c r="C139" s="11"/>
      <c r="D139" s="11"/>
      <c r="E139" s="11"/>
      <c r="F139" s="11"/>
    </row>
    <row r="140" spans="1:6">
      <c r="A140" s="3"/>
      <c r="B140" s="5" t="s">
        <v>155</v>
      </c>
      <c r="C140" s="12">
        <v>9</v>
      </c>
      <c r="D140" s="12" t="s">
        <v>60</v>
      </c>
      <c r="E140" s="12">
        <f>(48)*(1)*(1 + (0))</f>
        <v>48</v>
      </c>
      <c r="F140" s="12">
        <f t="shared" ref="F140:F152" si="9">C140*E140</f>
        <v>432</v>
      </c>
    </row>
    <row r="141" spans="1:6" ht="30">
      <c r="A141" s="3"/>
      <c r="B141" s="5" t="s">
        <v>71</v>
      </c>
      <c r="C141" s="12">
        <v>72</v>
      </c>
      <c r="D141" s="12" t="s">
        <v>21</v>
      </c>
      <c r="E141" s="12">
        <f>(7.2)*(1)*(1 + (0))</f>
        <v>7.2</v>
      </c>
      <c r="F141" s="12">
        <f t="shared" si="9"/>
        <v>518.4</v>
      </c>
    </row>
    <row r="142" spans="1:6">
      <c r="A142" s="3"/>
      <c r="B142" s="5" t="s">
        <v>72</v>
      </c>
      <c r="C142" s="12">
        <v>36</v>
      </c>
      <c r="D142" s="12" t="s">
        <v>21</v>
      </c>
      <c r="E142" s="12">
        <f>(9.5)*(1)*(1 + (0))</f>
        <v>9.5</v>
      </c>
      <c r="F142" s="12">
        <f t="shared" si="9"/>
        <v>342</v>
      </c>
    </row>
    <row r="143" spans="1:6">
      <c r="A143" s="3"/>
      <c r="B143" s="5" t="s">
        <v>156</v>
      </c>
      <c r="C143" s="12">
        <v>3</v>
      </c>
      <c r="D143" s="12" t="s">
        <v>21</v>
      </c>
      <c r="E143" s="12">
        <f>(14)*(1)*(1 + (0))</f>
        <v>14</v>
      </c>
      <c r="F143" s="12">
        <f t="shared" si="9"/>
        <v>42</v>
      </c>
    </row>
    <row r="144" spans="1:6">
      <c r="A144" s="3"/>
      <c r="B144" s="5" t="s">
        <v>157</v>
      </c>
      <c r="C144" s="12">
        <v>1</v>
      </c>
      <c r="D144" s="12" t="s">
        <v>21</v>
      </c>
      <c r="E144" s="12">
        <f>(25.45)*(1)*(1 + (0))</f>
        <v>25.45</v>
      </c>
      <c r="F144" s="12">
        <f t="shared" si="9"/>
        <v>25.45</v>
      </c>
    </row>
    <row r="145" spans="1:6" ht="30">
      <c r="A145" s="3"/>
      <c r="B145" s="5" t="s">
        <v>158</v>
      </c>
      <c r="C145" s="12">
        <v>1</v>
      </c>
      <c r="D145" s="12" t="s">
        <v>21</v>
      </c>
      <c r="E145" s="12">
        <f>(30)*(1)*(1 + (0))</f>
        <v>30</v>
      </c>
      <c r="F145" s="12">
        <f t="shared" si="9"/>
        <v>30</v>
      </c>
    </row>
    <row r="146" spans="1:6">
      <c r="A146" s="3"/>
      <c r="B146" s="5" t="s">
        <v>76</v>
      </c>
      <c r="C146" s="12">
        <v>8495</v>
      </c>
      <c r="D146" s="12" t="s">
        <v>8</v>
      </c>
      <c r="E146" s="12">
        <f>(0.55)*(1)*(1 + (0))</f>
        <v>0.55000000000000004</v>
      </c>
      <c r="F146" s="12">
        <f t="shared" si="9"/>
        <v>4672.25</v>
      </c>
    </row>
    <row r="147" spans="1:6">
      <c r="A147" s="3"/>
      <c r="B147" s="5" t="s">
        <v>159</v>
      </c>
      <c r="C147" s="12">
        <v>1</v>
      </c>
      <c r="D147" s="12" t="s">
        <v>21</v>
      </c>
      <c r="E147" s="12">
        <f>(34.8)*(1)*(1 + (0))</f>
        <v>34.799999999999997</v>
      </c>
      <c r="F147" s="12">
        <f t="shared" si="9"/>
        <v>34.799999999999997</v>
      </c>
    </row>
    <row r="148" spans="1:6">
      <c r="A148" s="3"/>
      <c r="B148" s="5" t="s">
        <v>160</v>
      </c>
      <c r="C148" s="12">
        <v>3</v>
      </c>
      <c r="D148" s="12" t="s">
        <v>21</v>
      </c>
      <c r="E148" s="12">
        <f>(73.03)*(1)*(1 + (0))</f>
        <v>73.03</v>
      </c>
      <c r="F148" s="12">
        <f t="shared" si="9"/>
        <v>219.09</v>
      </c>
    </row>
    <row r="149" spans="1:6">
      <c r="A149" s="3"/>
      <c r="B149" s="5" t="s">
        <v>161</v>
      </c>
      <c r="C149" s="12">
        <v>3</v>
      </c>
      <c r="D149" s="12" t="s">
        <v>21</v>
      </c>
      <c r="E149" s="12">
        <f>(122.01)*(1)*(1 + (0))</f>
        <v>122.01</v>
      </c>
      <c r="F149" s="12">
        <f t="shared" si="9"/>
        <v>366.03000000000003</v>
      </c>
    </row>
    <row r="150" spans="1:6">
      <c r="A150" s="3"/>
      <c r="B150" s="5" t="s">
        <v>75</v>
      </c>
      <c r="C150" s="12">
        <v>1</v>
      </c>
      <c r="D150" s="12" t="s">
        <v>21</v>
      </c>
      <c r="E150" s="12">
        <f>(50)*(1)*(1 + (0))</f>
        <v>50</v>
      </c>
      <c r="F150" s="12">
        <f t="shared" si="9"/>
        <v>50</v>
      </c>
    </row>
    <row r="151" spans="1:6" ht="30">
      <c r="A151" s="3"/>
      <c r="B151" s="5" t="s">
        <v>77</v>
      </c>
      <c r="C151" s="12">
        <v>8500</v>
      </c>
      <c r="D151" s="12" t="s">
        <v>21</v>
      </c>
      <c r="E151" s="12">
        <f>(0.9)*(1)*(1 + (0))</f>
        <v>0.9</v>
      </c>
      <c r="F151" s="12">
        <f t="shared" si="9"/>
        <v>7650</v>
      </c>
    </row>
    <row r="152" spans="1:6" ht="30">
      <c r="A152" s="3"/>
      <c r="B152" s="5" t="s">
        <v>162</v>
      </c>
      <c r="C152" s="12">
        <v>1</v>
      </c>
      <c r="D152" s="12" t="s">
        <v>21</v>
      </c>
      <c r="E152" s="12">
        <f>(250)*(1)*(1 + (0))</f>
        <v>250</v>
      </c>
      <c r="F152" s="12">
        <f t="shared" si="9"/>
        <v>250</v>
      </c>
    </row>
    <row r="153" spans="1:6" ht="18.75">
      <c r="A153" s="2"/>
      <c r="B153" s="8" t="s">
        <v>163</v>
      </c>
      <c r="C153" s="11"/>
      <c r="D153" s="11"/>
      <c r="E153" s="11"/>
      <c r="F153" s="11"/>
    </row>
    <row r="154" spans="1:6" ht="45">
      <c r="A154" s="3"/>
      <c r="B154" s="5" t="s">
        <v>164</v>
      </c>
      <c r="C154" s="12">
        <v>44</v>
      </c>
      <c r="D154" s="12" t="s">
        <v>165</v>
      </c>
      <c r="E154" s="12">
        <f>(143)*(1)*(1 + (0))</f>
        <v>143</v>
      </c>
      <c r="F154" s="12">
        <f t="shared" ref="F154:F164" si="10">C154*E154</f>
        <v>6292</v>
      </c>
    </row>
    <row r="155" spans="1:6" ht="30">
      <c r="A155" s="3"/>
      <c r="B155" s="5" t="s">
        <v>166</v>
      </c>
      <c r="C155" s="12">
        <v>108</v>
      </c>
      <c r="D155" s="12" t="s">
        <v>8</v>
      </c>
      <c r="E155" s="12">
        <f>(300)*(1)*(1 + (0))</f>
        <v>300</v>
      </c>
      <c r="F155" s="12">
        <f t="shared" si="10"/>
        <v>32400</v>
      </c>
    </row>
    <row r="156" spans="1:6">
      <c r="A156" s="3"/>
      <c r="B156" s="5" t="s">
        <v>69</v>
      </c>
      <c r="C156" s="12">
        <v>10</v>
      </c>
      <c r="D156" s="12" t="s">
        <v>60</v>
      </c>
      <c r="E156" s="12">
        <f>(48)*(1)*(1 + (0))</f>
        <v>48</v>
      </c>
      <c r="F156" s="12">
        <f t="shared" si="10"/>
        <v>480</v>
      </c>
    </row>
    <row r="157" spans="1:6">
      <c r="A157" s="3"/>
      <c r="B157" s="5" t="s">
        <v>70</v>
      </c>
      <c r="C157" s="12">
        <v>2</v>
      </c>
      <c r="D157" s="12" t="s">
        <v>21</v>
      </c>
      <c r="E157" s="12">
        <f>(14)*(1)*(1 + (0))</f>
        <v>14</v>
      </c>
      <c r="F157" s="12">
        <f t="shared" si="10"/>
        <v>28</v>
      </c>
    </row>
    <row r="158" spans="1:6">
      <c r="A158" s="3"/>
      <c r="B158" s="5" t="s">
        <v>167</v>
      </c>
      <c r="C158" s="12">
        <v>80</v>
      </c>
      <c r="D158" s="12" t="s">
        <v>21</v>
      </c>
      <c r="E158" s="12">
        <f>(9)*(1)*(1 + (0))</f>
        <v>9</v>
      </c>
      <c r="F158" s="12">
        <f t="shared" si="10"/>
        <v>720</v>
      </c>
    </row>
    <row r="159" spans="1:6">
      <c r="A159" s="3"/>
      <c r="B159" s="5" t="s">
        <v>72</v>
      </c>
      <c r="C159" s="12">
        <v>40</v>
      </c>
      <c r="D159" s="12" t="s">
        <v>21</v>
      </c>
      <c r="E159" s="12">
        <f>(9.5)*(1)*(1 + (0))</f>
        <v>9.5</v>
      </c>
      <c r="F159" s="12">
        <f t="shared" si="10"/>
        <v>380</v>
      </c>
    </row>
    <row r="160" spans="1:6">
      <c r="A160" s="3"/>
      <c r="B160" s="5" t="s">
        <v>168</v>
      </c>
      <c r="C160" s="12">
        <v>710</v>
      </c>
      <c r="D160" s="12" t="s">
        <v>44</v>
      </c>
      <c r="E160" s="12">
        <f>(2.85)*(1)*(1 + (0))</f>
        <v>2.85</v>
      </c>
      <c r="F160" s="12">
        <f t="shared" si="10"/>
        <v>2023.5</v>
      </c>
    </row>
    <row r="161" spans="1:6" ht="30">
      <c r="A161" s="3"/>
      <c r="B161" s="5" t="s">
        <v>169</v>
      </c>
      <c r="C161" s="12">
        <v>4.5</v>
      </c>
      <c r="D161" s="12" t="s">
        <v>60</v>
      </c>
      <c r="E161" s="12">
        <f>(220)*(1)*(1 + (0))</f>
        <v>220</v>
      </c>
      <c r="F161" s="12">
        <f t="shared" si="10"/>
        <v>990</v>
      </c>
    </row>
    <row r="162" spans="1:6">
      <c r="A162" s="3"/>
      <c r="B162" s="5" t="s">
        <v>170</v>
      </c>
      <c r="C162" s="12">
        <v>8</v>
      </c>
      <c r="D162" s="12" t="s">
        <v>42</v>
      </c>
      <c r="E162" s="12">
        <f>(45)*(1)*(1 + (0))</f>
        <v>45</v>
      </c>
      <c r="F162" s="12">
        <f t="shared" si="10"/>
        <v>360</v>
      </c>
    </row>
    <row r="163" spans="1:6">
      <c r="A163" s="3"/>
      <c r="B163" s="5" t="s">
        <v>171</v>
      </c>
      <c r="C163" s="12">
        <v>24</v>
      </c>
      <c r="D163" s="12" t="s">
        <v>42</v>
      </c>
      <c r="E163" s="12">
        <f>(45)*(1)*(1 + (0))</f>
        <v>45</v>
      </c>
      <c r="F163" s="12">
        <f t="shared" si="10"/>
        <v>1080</v>
      </c>
    </row>
    <row r="164" spans="1:6">
      <c r="A164" s="3"/>
      <c r="B164" s="5" t="s">
        <v>172</v>
      </c>
      <c r="C164" s="12">
        <v>1</v>
      </c>
      <c r="D164" s="12" t="s">
        <v>19</v>
      </c>
      <c r="E164" s="12">
        <f>(3300)*(1)*(1 + (0))</f>
        <v>3300</v>
      </c>
      <c r="F164" s="12">
        <f t="shared" si="10"/>
        <v>3300</v>
      </c>
    </row>
    <row r="165" spans="1:6" ht="18.75">
      <c r="A165" s="2"/>
      <c r="B165" s="8" t="s">
        <v>173</v>
      </c>
      <c r="C165" s="11"/>
      <c r="D165" s="11"/>
      <c r="E165" s="11"/>
      <c r="F165" s="11"/>
    </row>
    <row r="166" spans="1:6" ht="15.75">
      <c r="A166" s="4"/>
      <c r="B166" s="9" t="s">
        <v>174</v>
      </c>
      <c r="C166" s="13"/>
      <c r="D166" s="13"/>
      <c r="E166" s="13"/>
      <c r="F166" s="13"/>
    </row>
    <row r="167" spans="1:6">
      <c r="A167" s="3"/>
      <c r="B167" s="10" t="s">
        <v>175</v>
      </c>
      <c r="C167" s="12">
        <v>48</v>
      </c>
      <c r="D167" s="12" t="s">
        <v>42</v>
      </c>
      <c r="E167" s="12">
        <f t="shared" ref="E167:E176" si="11">(50)*(1)*(1 + (0))</f>
        <v>50</v>
      </c>
      <c r="F167" s="12">
        <f t="shared" ref="F167:F190" si="12">C167*E167</f>
        <v>2400</v>
      </c>
    </row>
    <row r="168" spans="1:6">
      <c r="A168" s="3"/>
      <c r="B168" s="10" t="s">
        <v>176</v>
      </c>
      <c r="C168" s="12">
        <v>32</v>
      </c>
      <c r="D168" s="12" t="s">
        <v>42</v>
      </c>
      <c r="E168" s="12">
        <f t="shared" si="11"/>
        <v>50</v>
      </c>
      <c r="F168" s="12">
        <f t="shared" si="12"/>
        <v>1600</v>
      </c>
    </row>
    <row r="169" spans="1:6">
      <c r="A169" s="3"/>
      <c r="B169" s="10" t="s">
        <v>177</v>
      </c>
      <c r="C169" s="12">
        <v>80</v>
      </c>
      <c r="D169" s="12" t="s">
        <v>42</v>
      </c>
      <c r="E169" s="12">
        <f t="shared" si="11"/>
        <v>50</v>
      </c>
      <c r="F169" s="12">
        <f t="shared" si="12"/>
        <v>4000</v>
      </c>
    </row>
    <row r="170" spans="1:6">
      <c r="A170" s="3"/>
      <c r="B170" s="10" t="s">
        <v>178</v>
      </c>
      <c r="C170" s="12">
        <v>80</v>
      </c>
      <c r="D170" s="12" t="s">
        <v>42</v>
      </c>
      <c r="E170" s="12">
        <f t="shared" si="11"/>
        <v>50</v>
      </c>
      <c r="F170" s="12">
        <f t="shared" si="12"/>
        <v>4000</v>
      </c>
    </row>
    <row r="171" spans="1:6">
      <c r="A171" s="3"/>
      <c r="B171" s="10" t="s">
        <v>179</v>
      </c>
      <c r="C171" s="12">
        <v>80</v>
      </c>
      <c r="D171" s="12" t="s">
        <v>42</v>
      </c>
      <c r="E171" s="12">
        <f t="shared" si="11"/>
        <v>50</v>
      </c>
      <c r="F171" s="12">
        <f t="shared" si="12"/>
        <v>4000</v>
      </c>
    </row>
    <row r="172" spans="1:6">
      <c r="A172" s="3"/>
      <c r="B172" s="10" t="s">
        <v>180</v>
      </c>
      <c r="C172" s="12">
        <v>16</v>
      </c>
      <c r="D172" s="12" t="s">
        <v>42</v>
      </c>
      <c r="E172" s="12">
        <f t="shared" si="11"/>
        <v>50</v>
      </c>
      <c r="F172" s="12">
        <f t="shared" si="12"/>
        <v>800</v>
      </c>
    </row>
    <row r="173" spans="1:6">
      <c r="A173" s="3"/>
      <c r="B173" s="10" t="s">
        <v>181</v>
      </c>
      <c r="C173" s="12">
        <v>16</v>
      </c>
      <c r="D173" s="12" t="s">
        <v>42</v>
      </c>
      <c r="E173" s="12">
        <f t="shared" si="11"/>
        <v>50</v>
      </c>
      <c r="F173" s="12">
        <f t="shared" si="12"/>
        <v>800</v>
      </c>
    </row>
    <row r="174" spans="1:6">
      <c r="A174" s="3"/>
      <c r="B174" s="10" t="s">
        <v>182</v>
      </c>
      <c r="C174" s="12">
        <v>16</v>
      </c>
      <c r="D174" s="12" t="s">
        <v>42</v>
      </c>
      <c r="E174" s="12">
        <f t="shared" si="11"/>
        <v>50</v>
      </c>
      <c r="F174" s="12">
        <f t="shared" si="12"/>
        <v>800</v>
      </c>
    </row>
    <row r="175" spans="1:6">
      <c r="A175" s="3"/>
      <c r="B175" s="10" t="s">
        <v>183</v>
      </c>
      <c r="C175" s="12">
        <v>8</v>
      </c>
      <c r="D175" s="12" t="s">
        <v>42</v>
      </c>
      <c r="E175" s="12">
        <f t="shared" si="11"/>
        <v>50</v>
      </c>
      <c r="F175" s="12">
        <f t="shared" si="12"/>
        <v>400</v>
      </c>
    </row>
    <row r="176" spans="1:6">
      <c r="A176" s="3"/>
      <c r="B176" s="10" t="s">
        <v>184</v>
      </c>
      <c r="C176" s="12">
        <v>40</v>
      </c>
      <c r="D176" s="12" t="s">
        <v>42</v>
      </c>
      <c r="E176" s="12">
        <f t="shared" si="11"/>
        <v>50</v>
      </c>
      <c r="F176" s="12">
        <f t="shared" si="12"/>
        <v>2000</v>
      </c>
    </row>
    <row r="177" spans="1:6">
      <c r="A177" s="3"/>
      <c r="B177" s="5" t="s">
        <v>185</v>
      </c>
      <c r="C177" s="12">
        <v>1</v>
      </c>
      <c r="D177" s="12" t="s">
        <v>19</v>
      </c>
      <c r="E177" s="12">
        <f>(2000)*(1)*(1 + (0))</f>
        <v>2000</v>
      </c>
      <c r="F177" s="12">
        <f t="shared" si="12"/>
        <v>2000</v>
      </c>
    </row>
    <row r="178" spans="1:6">
      <c r="A178" s="3"/>
      <c r="B178" s="5" t="s">
        <v>186</v>
      </c>
      <c r="C178" s="12">
        <v>885</v>
      </c>
      <c r="D178" s="12" t="s">
        <v>44</v>
      </c>
      <c r="E178" s="12">
        <f>(10.15)*(1)*(1 + (0))</f>
        <v>10.15</v>
      </c>
      <c r="F178" s="12">
        <f t="shared" si="12"/>
        <v>8982.75</v>
      </c>
    </row>
    <row r="179" spans="1:6" ht="60">
      <c r="A179" s="3"/>
      <c r="B179" s="5" t="s">
        <v>187</v>
      </c>
      <c r="C179" s="12">
        <v>240</v>
      </c>
      <c r="D179" s="12" t="s">
        <v>8</v>
      </c>
      <c r="E179" s="12">
        <f>(34.3)*(1)*(1 + (0))</f>
        <v>34.299999999999997</v>
      </c>
      <c r="F179" s="12">
        <f t="shared" si="12"/>
        <v>8232</v>
      </c>
    </row>
    <row r="180" spans="1:6">
      <c r="A180" s="3"/>
      <c r="B180" s="5" t="s">
        <v>188</v>
      </c>
      <c r="C180" s="12">
        <v>320</v>
      </c>
      <c r="D180" s="12" t="s">
        <v>44</v>
      </c>
      <c r="E180" s="12">
        <f>(8.73)*(1)*(1 + (0))</f>
        <v>8.73</v>
      </c>
      <c r="F180" s="12">
        <f t="shared" si="12"/>
        <v>2793.6000000000004</v>
      </c>
    </row>
    <row r="181" spans="1:6">
      <c r="A181" s="3"/>
      <c r="B181" s="5" t="s">
        <v>189</v>
      </c>
      <c r="C181" s="12">
        <v>320</v>
      </c>
      <c r="D181" s="12" t="s">
        <v>44</v>
      </c>
      <c r="E181" s="12">
        <f>(11.36)*(1)*(1 + (0))</f>
        <v>11.36</v>
      </c>
      <c r="F181" s="12">
        <f t="shared" si="12"/>
        <v>3635.2</v>
      </c>
    </row>
    <row r="182" spans="1:6">
      <c r="A182" s="3"/>
      <c r="B182" s="5" t="s">
        <v>190</v>
      </c>
      <c r="C182" s="12">
        <v>320</v>
      </c>
      <c r="D182" s="12" t="s">
        <v>44</v>
      </c>
      <c r="E182" s="12">
        <f>(15.3)*(1)*(1 + (0))</f>
        <v>15.3</v>
      </c>
      <c r="F182" s="12">
        <f t="shared" si="12"/>
        <v>4896</v>
      </c>
    </row>
    <row r="183" spans="1:6">
      <c r="A183" s="3"/>
      <c r="B183" s="5" t="s">
        <v>191</v>
      </c>
      <c r="C183" s="12">
        <v>150</v>
      </c>
      <c r="D183" s="12" t="s">
        <v>21</v>
      </c>
      <c r="E183" s="12">
        <f>(0.8)*(1)*(1 + (0))</f>
        <v>0.8</v>
      </c>
      <c r="F183" s="12">
        <f t="shared" si="12"/>
        <v>120</v>
      </c>
    </row>
    <row r="184" spans="1:6">
      <c r="A184" s="3"/>
      <c r="B184" s="5" t="s">
        <v>192</v>
      </c>
      <c r="C184" s="12">
        <v>200</v>
      </c>
      <c r="D184" s="12" t="s">
        <v>44</v>
      </c>
      <c r="E184" s="12">
        <f>(1.1)*(1)*(1 + (0))</f>
        <v>1.1000000000000001</v>
      </c>
      <c r="F184" s="12">
        <f t="shared" si="12"/>
        <v>220.00000000000003</v>
      </c>
    </row>
    <row r="185" spans="1:6">
      <c r="A185" s="3"/>
      <c r="B185" s="5" t="s">
        <v>113</v>
      </c>
      <c r="C185" s="12">
        <v>150</v>
      </c>
      <c r="D185" s="12" t="s">
        <v>44</v>
      </c>
      <c r="E185" s="12">
        <f>(3.98)*(1)*(1 + (0))</f>
        <v>3.98</v>
      </c>
      <c r="F185" s="12">
        <f t="shared" si="12"/>
        <v>597</v>
      </c>
    </row>
    <row r="186" spans="1:6">
      <c r="A186" s="3"/>
      <c r="B186" s="5" t="s">
        <v>193</v>
      </c>
      <c r="C186" s="12">
        <v>580</v>
      </c>
      <c r="D186" s="12" t="s">
        <v>44</v>
      </c>
      <c r="E186" s="12">
        <f>(11.37)*(1)*(1 + (0))</f>
        <v>11.37</v>
      </c>
      <c r="F186" s="12">
        <f t="shared" si="12"/>
        <v>6594.5999999999995</v>
      </c>
    </row>
    <row r="187" spans="1:6">
      <c r="A187" s="3"/>
      <c r="B187" s="5" t="s">
        <v>194</v>
      </c>
      <c r="C187" s="12">
        <v>13</v>
      </c>
      <c r="D187" s="12" t="s">
        <v>44</v>
      </c>
      <c r="E187" s="12">
        <f>(200)*(1)*(1 + (0))</f>
        <v>200</v>
      </c>
      <c r="F187" s="12">
        <f t="shared" si="12"/>
        <v>2600</v>
      </c>
    </row>
    <row r="188" spans="1:6" ht="30">
      <c r="A188" s="3"/>
      <c r="B188" s="5" t="s">
        <v>195</v>
      </c>
      <c r="C188" s="12">
        <v>3</v>
      </c>
      <c r="D188" s="12" t="s">
        <v>21</v>
      </c>
      <c r="E188" s="12">
        <f>(500)*(1)*(1 + (0))</f>
        <v>500</v>
      </c>
      <c r="F188" s="12">
        <f t="shared" si="12"/>
        <v>1500</v>
      </c>
    </row>
    <row r="189" spans="1:6" ht="30">
      <c r="A189" s="3"/>
      <c r="B189" s="5" t="s">
        <v>196</v>
      </c>
      <c r="C189" s="12">
        <v>1</v>
      </c>
      <c r="D189" s="12" t="s">
        <v>21</v>
      </c>
      <c r="E189" s="12">
        <f>(400)*(1)*(1 + (0))</f>
        <v>400</v>
      </c>
      <c r="F189" s="12">
        <f t="shared" si="12"/>
        <v>400</v>
      </c>
    </row>
    <row r="190" spans="1:6">
      <c r="A190" s="3"/>
      <c r="B190" s="5" t="s">
        <v>197</v>
      </c>
      <c r="C190" s="12">
        <v>4</v>
      </c>
      <c r="D190" s="12" t="s">
        <v>21</v>
      </c>
      <c r="E190" s="12">
        <f>(110)*(1)*(1 + (0))</f>
        <v>110</v>
      </c>
      <c r="F190" s="12">
        <f t="shared" si="12"/>
        <v>440</v>
      </c>
    </row>
    <row r="191" spans="1:6" ht="18.75">
      <c r="A191" s="2"/>
      <c r="B191" s="8" t="s">
        <v>198</v>
      </c>
      <c r="C191" s="11"/>
      <c r="D191" s="11"/>
      <c r="E191" s="11"/>
      <c r="F191" s="11"/>
    </row>
    <row r="192" spans="1:6" ht="30">
      <c r="A192" s="3"/>
      <c r="B192" s="5" t="s">
        <v>199</v>
      </c>
      <c r="C192" s="12">
        <v>14</v>
      </c>
      <c r="D192" s="12" t="s">
        <v>21</v>
      </c>
      <c r="E192" s="12">
        <f>(450)*(1)*(1 + (0))</f>
        <v>450</v>
      </c>
      <c r="F192" s="12">
        <f>C192*E192</f>
        <v>6300</v>
      </c>
    </row>
    <row r="193" spans="1:6" ht="18.75">
      <c r="A193" s="2"/>
      <c r="B193" s="8" t="s">
        <v>200</v>
      </c>
      <c r="C193" s="11"/>
      <c r="D193" s="11"/>
      <c r="E193" s="11"/>
      <c r="F193" s="11"/>
    </row>
    <row r="194" spans="1:6">
      <c r="A194" s="3"/>
      <c r="B194" s="5" t="s">
        <v>201</v>
      </c>
      <c r="C194" s="12">
        <v>1</v>
      </c>
      <c r="D194" s="12" t="s">
        <v>21</v>
      </c>
      <c r="E194" s="12">
        <f>(2600)*(1)*(1 + (0))</f>
        <v>2600</v>
      </c>
      <c r="F194" s="12">
        <f t="shared" ref="F194:F220" si="13">C194*E194</f>
        <v>2600</v>
      </c>
    </row>
    <row r="195" spans="1:6" ht="30">
      <c r="A195" s="3"/>
      <c r="B195" s="5" t="s">
        <v>202</v>
      </c>
      <c r="C195" s="12">
        <v>255</v>
      </c>
      <c r="D195" s="12" t="s">
        <v>44</v>
      </c>
      <c r="E195" s="12">
        <f>(45)*(1)*(1 + (0))</f>
        <v>45</v>
      </c>
      <c r="F195" s="12">
        <f t="shared" si="13"/>
        <v>11475</v>
      </c>
    </row>
    <row r="196" spans="1:6">
      <c r="A196" s="3"/>
      <c r="B196" s="5" t="s">
        <v>203</v>
      </c>
      <c r="C196" s="12">
        <v>8</v>
      </c>
      <c r="D196" s="12" t="s">
        <v>21</v>
      </c>
      <c r="E196" s="12">
        <f>(300)*(1)*(1 + (0))</f>
        <v>300</v>
      </c>
      <c r="F196" s="12">
        <f t="shared" si="13"/>
        <v>2400</v>
      </c>
    </row>
    <row r="197" spans="1:6">
      <c r="A197" s="3"/>
      <c r="B197" s="5" t="s">
        <v>204</v>
      </c>
      <c r="C197" s="12">
        <v>1</v>
      </c>
      <c r="D197" s="12" t="s">
        <v>21</v>
      </c>
      <c r="E197" s="12">
        <f>(160)*(1)*(1 + (0))</f>
        <v>160</v>
      </c>
      <c r="F197" s="12">
        <f t="shared" si="13"/>
        <v>160</v>
      </c>
    </row>
    <row r="198" spans="1:6">
      <c r="A198" s="3"/>
      <c r="B198" s="5" t="s">
        <v>205</v>
      </c>
      <c r="C198" s="12">
        <v>4</v>
      </c>
      <c r="D198" s="12" t="s">
        <v>21</v>
      </c>
      <c r="E198" s="12">
        <f>(75)*(1)*(1 + (0))</f>
        <v>75</v>
      </c>
      <c r="F198" s="12">
        <f t="shared" si="13"/>
        <v>300</v>
      </c>
    </row>
    <row r="199" spans="1:6" ht="30">
      <c r="A199" s="3"/>
      <c r="B199" s="5" t="s">
        <v>206</v>
      </c>
      <c r="C199" s="12">
        <v>108</v>
      </c>
      <c r="D199" s="12" t="s">
        <v>21</v>
      </c>
      <c r="E199" s="12">
        <f>(55)*(1)*(1 + (0))</f>
        <v>55</v>
      </c>
      <c r="F199" s="12">
        <f t="shared" si="13"/>
        <v>5940</v>
      </c>
    </row>
    <row r="200" spans="1:6" ht="30">
      <c r="A200" s="3"/>
      <c r="B200" s="5" t="s">
        <v>207</v>
      </c>
      <c r="C200" s="12">
        <v>1</v>
      </c>
      <c r="D200" s="12" t="s">
        <v>19</v>
      </c>
      <c r="E200" s="12">
        <f>(5000)*(1)*(1 + (0))</f>
        <v>5000</v>
      </c>
      <c r="F200" s="12">
        <f t="shared" si="13"/>
        <v>5000</v>
      </c>
    </row>
    <row r="201" spans="1:6">
      <c r="A201" s="3"/>
      <c r="B201" s="5" t="s">
        <v>208</v>
      </c>
      <c r="C201" s="12">
        <v>6</v>
      </c>
      <c r="D201" s="12" t="s">
        <v>21</v>
      </c>
      <c r="E201" s="12">
        <f>(55)*(1)*(1 + (0))</f>
        <v>55</v>
      </c>
      <c r="F201" s="12">
        <f t="shared" si="13"/>
        <v>330</v>
      </c>
    </row>
    <row r="202" spans="1:6">
      <c r="A202" s="3"/>
      <c r="B202" s="5" t="s">
        <v>209</v>
      </c>
      <c r="C202" s="12">
        <v>4</v>
      </c>
      <c r="D202" s="12" t="s">
        <v>21</v>
      </c>
      <c r="E202" s="12">
        <f>(55)*(1)*(1 + (0))</f>
        <v>55</v>
      </c>
      <c r="F202" s="12">
        <f t="shared" si="13"/>
        <v>220</v>
      </c>
    </row>
    <row r="203" spans="1:6">
      <c r="A203" s="3"/>
      <c r="B203" s="5" t="s">
        <v>210</v>
      </c>
      <c r="C203" s="12">
        <v>3</v>
      </c>
      <c r="D203" s="12" t="s">
        <v>21</v>
      </c>
      <c r="E203" s="12">
        <f>(35)*(1)*(1 + (0))</f>
        <v>35</v>
      </c>
      <c r="F203" s="12">
        <f t="shared" si="13"/>
        <v>105</v>
      </c>
    </row>
    <row r="204" spans="1:6">
      <c r="A204" s="3"/>
      <c r="B204" s="5" t="s">
        <v>211</v>
      </c>
      <c r="C204" s="12">
        <v>43</v>
      </c>
      <c r="D204" s="12" t="s">
        <v>21</v>
      </c>
      <c r="E204" s="12">
        <f>(55)*(1)*(1 + (0))</f>
        <v>55</v>
      </c>
      <c r="F204" s="12">
        <f t="shared" si="13"/>
        <v>2365</v>
      </c>
    </row>
    <row r="205" spans="1:6" ht="30">
      <c r="A205" s="3"/>
      <c r="B205" s="5" t="s">
        <v>212</v>
      </c>
      <c r="C205" s="12">
        <v>3</v>
      </c>
      <c r="D205" s="12" t="s">
        <v>21</v>
      </c>
      <c r="E205" s="12">
        <f>(65)*(1)*(1 + (0))</f>
        <v>65</v>
      </c>
      <c r="F205" s="12">
        <f t="shared" si="13"/>
        <v>195</v>
      </c>
    </row>
    <row r="206" spans="1:6" ht="30">
      <c r="A206" s="3"/>
      <c r="B206" s="5" t="s">
        <v>213</v>
      </c>
      <c r="C206" s="12">
        <v>2</v>
      </c>
      <c r="D206" s="12" t="s">
        <v>21</v>
      </c>
      <c r="E206" s="12">
        <f>(75)*(1)*(1 + (0))</f>
        <v>75</v>
      </c>
      <c r="F206" s="12">
        <f t="shared" si="13"/>
        <v>150</v>
      </c>
    </row>
    <row r="207" spans="1:6" ht="30">
      <c r="A207" s="3"/>
      <c r="B207" s="5" t="s">
        <v>214</v>
      </c>
      <c r="C207" s="12">
        <v>1</v>
      </c>
      <c r="D207" s="12" t="s">
        <v>21</v>
      </c>
      <c r="E207" s="12">
        <f>(150)*(1)*(1 + (0))</f>
        <v>150</v>
      </c>
      <c r="F207" s="12">
        <f t="shared" si="13"/>
        <v>150</v>
      </c>
    </row>
    <row r="208" spans="1:6">
      <c r="A208" s="3"/>
      <c r="B208" s="5" t="s">
        <v>215</v>
      </c>
      <c r="C208" s="12">
        <v>1</v>
      </c>
      <c r="D208" s="12" t="s">
        <v>21</v>
      </c>
      <c r="E208" s="12">
        <f>(80)*(1)*(1 + (0))</f>
        <v>80</v>
      </c>
      <c r="F208" s="12">
        <f t="shared" si="13"/>
        <v>80</v>
      </c>
    </row>
    <row r="209" spans="1:6">
      <c r="A209" s="3"/>
      <c r="B209" s="5" t="s">
        <v>216</v>
      </c>
      <c r="C209" s="12">
        <v>1</v>
      </c>
      <c r="D209" s="12" t="s">
        <v>21</v>
      </c>
      <c r="E209" s="12">
        <f>(95)*(1)*(1 + (0))</f>
        <v>95</v>
      </c>
      <c r="F209" s="12">
        <f t="shared" si="13"/>
        <v>95</v>
      </c>
    </row>
    <row r="210" spans="1:6">
      <c r="A210" s="3"/>
      <c r="B210" s="5" t="s">
        <v>217</v>
      </c>
      <c r="C210" s="12">
        <v>1</v>
      </c>
      <c r="D210" s="12" t="s">
        <v>21</v>
      </c>
      <c r="E210" s="12">
        <f>(90)*(1)*(1 + (0))</f>
        <v>90</v>
      </c>
      <c r="F210" s="12">
        <f t="shared" si="13"/>
        <v>90</v>
      </c>
    </row>
    <row r="211" spans="1:6">
      <c r="A211" s="3"/>
      <c r="B211" s="5" t="s">
        <v>218</v>
      </c>
      <c r="C211" s="12">
        <v>1</v>
      </c>
      <c r="D211" s="12" t="s">
        <v>21</v>
      </c>
      <c r="E211" s="12">
        <f>(160)*(1)*(1 + (0))</f>
        <v>160</v>
      </c>
      <c r="F211" s="12">
        <f t="shared" si="13"/>
        <v>160</v>
      </c>
    </row>
    <row r="212" spans="1:6" ht="30">
      <c r="A212" s="3"/>
      <c r="B212" s="5" t="s">
        <v>219</v>
      </c>
      <c r="C212" s="12">
        <v>2</v>
      </c>
      <c r="D212" s="12" t="s">
        <v>21</v>
      </c>
      <c r="E212" s="12">
        <f>(300)*(1)*(1 + (0))</f>
        <v>300</v>
      </c>
      <c r="F212" s="12">
        <f t="shared" si="13"/>
        <v>600</v>
      </c>
    </row>
    <row r="213" spans="1:6">
      <c r="A213" s="3"/>
      <c r="B213" s="5" t="s">
        <v>220</v>
      </c>
      <c r="C213" s="12">
        <v>3</v>
      </c>
      <c r="D213" s="12" t="s">
        <v>21</v>
      </c>
      <c r="E213" s="12">
        <f>(55)*(1)*(1 + (0))</f>
        <v>55</v>
      </c>
      <c r="F213" s="12">
        <f t="shared" si="13"/>
        <v>165</v>
      </c>
    </row>
    <row r="214" spans="1:6">
      <c r="A214" s="3"/>
      <c r="B214" s="5" t="s">
        <v>221</v>
      </c>
      <c r="C214" s="12">
        <v>3</v>
      </c>
      <c r="D214" s="12" t="s">
        <v>21</v>
      </c>
      <c r="E214" s="12">
        <f>(55)*(1)*(1 + (0))</f>
        <v>55</v>
      </c>
      <c r="F214" s="12">
        <f t="shared" si="13"/>
        <v>165</v>
      </c>
    </row>
    <row r="215" spans="1:6">
      <c r="A215" s="3"/>
      <c r="B215" s="5" t="s">
        <v>222</v>
      </c>
      <c r="C215" s="12">
        <v>4</v>
      </c>
      <c r="D215" s="12" t="s">
        <v>21</v>
      </c>
      <c r="E215" s="12">
        <f>(100)*(1)*(1 + (0))</f>
        <v>100</v>
      </c>
      <c r="F215" s="12">
        <f t="shared" si="13"/>
        <v>400</v>
      </c>
    </row>
    <row r="216" spans="1:6" ht="30">
      <c r="A216" s="3"/>
      <c r="B216" s="5" t="s">
        <v>223</v>
      </c>
      <c r="C216" s="12">
        <v>1</v>
      </c>
      <c r="D216" s="12" t="s">
        <v>21</v>
      </c>
      <c r="E216" s="12">
        <f>(300)*(1)*(1 + (0))</f>
        <v>300</v>
      </c>
      <c r="F216" s="12">
        <f t="shared" si="13"/>
        <v>300</v>
      </c>
    </row>
    <row r="217" spans="1:6" ht="30">
      <c r="A217" s="3"/>
      <c r="B217" s="5" t="s">
        <v>224</v>
      </c>
      <c r="C217" s="12">
        <v>1</v>
      </c>
      <c r="D217" s="12" t="s">
        <v>21</v>
      </c>
      <c r="E217" s="12">
        <f>(400)*(1)*(1 + (0))</f>
        <v>400</v>
      </c>
      <c r="F217" s="12">
        <f t="shared" si="13"/>
        <v>400</v>
      </c>
    </row>
    <row r="218" spans="1:6">
      <c r="A218" s="3"/>
      <c r="B218" s="5" t="s">
        <v>225</v>
      </c>
      <c r="C218" s="12">
        <v>1</v>
      </c>
      <c r="D218" s="12" t="s">
        <v>21</v>
      </c>
      <c r="E218" s="12">
        <f>(85)*(1)*(1 + (0))</f>
        <v>85</v>
      </c>
      <c r="F218" s="12">
        <f t="shared" si="13"/>
        <v>85</v>
      </c>
    </row>
    <row r="219" spans="1:6">
      <c r="A219" s="3"/>
      <c r="B219" s="5" t="s">
        <v>226</v>
      </c>
      <c r="C219" s="12">
        <v>1</v>
      </c>
      <c r="D219" s="12" t="s">
        <v>21</v>
      </c>
      <c r="E219" s="12">
        <f>(8500)*(1)*(1 + (0))</f>
        <v>8500</v>
      </c>
      <c r="F219" s="12">
        <f t="shared" si="13"/>
        <v>8500</v>
      </c>
    </row>
    <row r="220" spans="1:6" ht="30">
      <c r="A220" s="3"/>
      <c r="B220" s="5" t="s">
        <v>227</v>
      </c>
      <c r="C220" s="12">
        <v>1</v>
      </c>
      <c r="D220" s="12" t="s">
        <v>21</v>
      </c>
      <c r="E220" s="12">
        <f>(250)*(1)*(1 + (0))</f>
        <v>250</v>
      </c>
      <c r="F220" s="12">
        <f t="shared" si="13"/>
        <v>250</v>
      </c>
    </row>
    <row r="221" spans="1:6" ht="18.75">
      <c r="A221" s="2"/>
      <c r="B221" s="8" t="s">
        <v>228</v>
      </c>
      <c r="C221" s="11"/>
      <c r="D221" s="11"/>
      <c r="E221" s="11"/>
      <c r="F221" s="11"/>
    </row>
    <row r="222" spans="1:6" ht="30">
      <c r="A222" s="3"/>
      <c r="B222" s="5" t="s">
        <v>229</v>
      </c>
      <c r="C222" s="12">
        <v>1</v>
      </c>
      <c r="D222" s="12" t="s">
        <v>19</v>
      </c>
      <c r="E222" s="12">
        <f>(53491)*(1)*(1 + (0))</f>
        <v>53491</v>
      </c>
      <c r="F222" s="12">
        <f>C222*E222</f>
        <v>53491</v>
      </c>
    </row>
    <row r="223" spans="1:6" ht="45">
      <c r="A223" s="3"/>
      <c r="B223" s="5" t="s">
        <v>230</v>
      </c>
      <c r="C223" s="12">
        <v>1</v>
      </c>
      <c r="D223" s="12" t="s">
        <v>19</v>
      </c>
      <c r="E223" s="12">
        <f>(10000)*(1)*(1 + (0))</f>
        <v>10000</v>
      </c>
      <c r="F223" s="12">
        <f>C223*E223</f>
        <v>10000</v>
      </c>
    </row>
    <row r="224" spans="1:6" ht="30">
      <c r="A224" s="3"/>
      <c r="B224" s="5" t="s">
        <v>231</v>
      </c>
      <c r="C224" s="12">
        <v>2</v>
      </c>
      <c r="D224" s="12" t="s">
        <v>21</v>
      </c>
      <c r="E224" s="12">
        <f>(600)*(1)*(1 + (0))</f>
        <v>600</v>
      </c>
      <c r="F224" s="12">
        <f>C224*E224</f>
        <v>1200</v>
      </c>
    </row>
    <row r="225" spans="1:6" ht="18.75">
      <c r="A225" s="2"/>
      <c r="B225" s="8" t="s">
        <v>232</v>
      </c>
      <c r="C225" s="11"/>
      <c r="D225" s="11"/>
      <c r="E225" s="11"/>
      <c r="F225" s="11"/>
    </row>
    <row r="226" spans="1:6" ht="30">
      <c r="A226" s="3"/>
      <c r="B226" s="5" t="s">
        <v>233</v>
      </c>
      <c r="C226" s="12">
        <v>274</v>
      </c>
      <c r="D226" s="12" t="s">
        <v>8</v>
      </c>
      <c r="E226" s="12">
        <f>(9.75)*(1)*(1 + (0))</f>
        <v>9.75</v>
      </c>
      <c r="F226" s="12">
        <f t="shared" ref="F226:F233" si="14">C226*E226</f>
        <v>2671.5</v>
      </c>
    </row>
    <row r="227" spans="1:6">
      <c r="A227" s="3"/>
      <c r="B227" s="5" t="s">
        <v>234</v>
      </c>
      <c r="C227" s="12">
        <v>274</v>
      </c>
      <c r="D227" s="12" t="s">
        <v>8</v>
      </c>
      <c r="E227" s="12">
        <f>(6.4)*(1)*(1 + (0))</f>
        <v>6.4</v>
      </c>
      <c r="F227" s="12">
        <f t="shared" si="14"/>
        <v>1753.6000000000001</v>
      </c>
    </row>
    <row r="228" spans="1:6">
      <c r="A228" s="3"/>
      <c r="B228" s="5" t="s">
        <v>235</v>
      </c>
      <c r="C228" s="12">
        <v>274</v>
      </c>
      <c r="D228" s="12" t="s">
        <v>8</v>
      </c>
      <c r="E228" s="12">
        <f>(0.88)*(1)*(1 + (0))</f>
        <v>0.88</v>
      </c>
      <c r="F228" s="12">
        <f t="shared" si="14"/>
        <v>241.12</v>
      </c>
    </row>
    <row r="229" spans="1:6" ht="30">
      <c r="A229" s="3"/>
      <c r="B229" s="5" t="s">
        <v>236</v>
      </c>
      <c r="C229" s="12">
        <v>144.62099181967858</v>
      </c>
      <c r="D229" s="12" t="s">
        <v>8</v>
      </c>
      <c r="E229" s="12">
        <f>(9.47)*(1)*(1 + (0))</f>
        <v>9.4700000000000006</v>
      </c>
      <c r="F229" s="12">
        <f t="shared" si="14"/>
        <v>1369.5607925323563</v>
      </c>
    </row>
    <row r="230" spans="1:6" ht="30">
      <c r="A230" s="3"/>
      <c r="B230" s="5" t="s">
        <v>237</v>
      </c>
      <c r="C230" s="12">
        <v>274</v>
      </c>
      <c r="D230" s="12" t="s">
        <v>8</v>
      </c>
      <c r="E230" s="12">
        <f>(11.2)*(1)*(1 + (0))</f>
        <v>11.2</v>
      </c>
      <c r="F230" s="12">
        <f t="shared" si="14"/>
        <v>3068.7999999999997</v>
      </c>
    </row>
    <row r="231" spans="1:6">
      <c r="A231" s="3"/>
      <c r="B231" s="5" t="s">
        <v>238</v>
      </c>
      <c r="C231" s="12">
        <v>12</v>
      </c>
      <c r="D231" s="12" t="s">
        <v>44</v>
      </c>
      <c r="E231" s="12">
        <f>(30)*(1)*(1 + (0))</f>
        <v>30</v>
      </c>
      <c r="F231" s="12">
        <f t="shared" si="14"/>
        <v>360</v>
      </c>
    </row>
    <row r="232" spans="1:6" ht="30">
      <c r="A232" s="3"/>
      <c r="B232" s="5" t="s">
        <v>239</v>
      </c>
      <c r="C232" s="12">
        <v>8</v>
      </c>
      <c r="D232" s="12" t="s">
        <v>21</v>
      </c>
      <c r="E232" s="12">
        <f>(30)*(1)*(1 + (0))</f>
        <v>30</v>
      </c>
      <c r="F232" s="12">
        <f t="shared" si="14"/>
        <v>240</v>
      </c>
    </row>
    <row r="233" spans="1:6" ht="30">
      <c r="A233" s="3"/>
      <c r="B233" s="5" t="s">
        <v>240</v>
      </c>
      <c r="C233" s="12">
        <v>55</v>
      </c>
      <c r="D233" s="12" t="s">
        <v>8</v>
      </c>
      <c r="E233" s="12">
        <f>(22.5)*(1)*(1 + (0))</f>
        <v>22.5</v>
      </c>
      <c r="F233" s="12">
        <f t="shared" si="14"/>
        <v>1237.5</v>
      </c>
    </row>
    <row r="234" spans="1:6" ht="18.75">
      <c r="A234" s="2"/>
      <c r="B234" s="8" t="s">
        <v>241</v>
      </c>
      <c r="C234" s="11"/>
      <c r="D234" s="11"/>
      <c r="E234" s="11"/>
      <c r="F234" s="11"/>
    </row>
    <row r="235" spans="1:6" ht="30">
      <c r="A235" s="3"/>
      <c r="B235" s="5" t="s">
        <v>242</v>
      </c>
      <c r="C235" s="12">
        <v>164</v>
      </c>
      <c r="D235" s="12" t="s">
        <v>8</v>
      </c>
      <c r="E235" s="12">
        <f>(35)*(1)*(1 + (0))</f>
        <v>35</v>
      </c>
      <c r="F235" s="12">
        <f>C235*E235</f>
        <v>5740</v>
      </c>
    </row>
    <row r="236" spans="1:6" ht="30">
      <c r="A236" s="3"/>
      <c r="B236" s="5" t="s">
        <v>243</v>
      </c>
      <c r="C236" s="12">
        <v>12</v>
      </c>
      <c r="D236" s="12" t="s">
        <v>8</v>
      </c>
      <c r="E236" s="12">
        <f>(60)*(1)*(1 + (0))</f>
        <v>60</v>
      </c>
      <c r="F236" s="12">
        <f>C236*E236</f>
        <v>720</v>
      </c>
    </row>
    <row r="237" spans="1:6" ht="18.75">
      <c r="A237" s="2"/>
      <c r="B237" s="8" t="s">
        <v>244</v>
      </c>
      <c r="C237" s="11"/>
      <c r="D237" s="11"/>
      <c r="E237" s="11"/>
      <c r="F237" s="11"/>
    </row>
    <row r="238" spans="1:6" ht="30">
      <c r="A238" s="3"/>
      <c r="B238" s="5" t="s">
        <v>245</v>
      </c>
      <c r="C238" s="12">
        <v>950</v>
      </c>
      <c r="D238" s="12" t="s">
        <v>8</v>
      </c>
      <c r="E238" s="12">
        <f>(22)*(1)*(1 + (0))</f>
        <v>22</v>
      </c>
      <c r="F238" s="12">
        <f>C238*E238</f>
        <v>20900</v>
      </c>
    </row>
    <row r="239" spans="1:6">
      <c r="A239" s="3"/>
      <c r="B239" s="5" t="s">
        <v>246</v>
      </c>
      <c r="C239" s="12">
        <v>248</v>
      </c>
      <c r="D239" s="12" t="s">
        <v>8</v>
      </c>
      <c r="E239" s="12">
        <f>(2.52)*(1)*(1 + (0))</f>
        <v>2.52</v>
      </c>
      <c r="F239" s="12">
        <f>C239*E239</f>
        <v>624.96</v>
      </c>
    </row>
    <row r="240" spans="1:6">
      <c r="A240" s="3"/>
      <c r="B240" s="5" t="s">
        <v>247</v>
      </c>
      <c r="C240" s="12">
        <v>248</v>
      </c>
      <c r="D240" s="12" t="s">
        <v>44</v>
      </c>
      <c r="E240" s="12">
        <f>(12.5)*(1)*(1 + (0))</f>
        <v>12.5</v>
      </c>
      <c r="F240" s="12">
        <f>C240*E240</f>
        <v>3100</v>
      </c>
    </row>
    <row r="241" spans="1:6" ht="30">
      <c r="A241" s="3"/>
      <c r="B241" s="5" t="s">
        <v>248</v>
      </c>
      <c r="C241" s="12">
        <v>685</v>
      </c>
      <c r="D241" s="12" t="s">
        <v>44</v>
      </c>
      <c r="E241" s="12">
        <f>(12.5)*(1)*(1 + (0))</f>
        <v>12.5</v>
      </c>
      <c r="F241" s="12">
        <f>C241*E241</f>
        <v>8562.5</v>
      </c>
    </row>
    <row r="242" spans="1:6" ht="18.75">
      <c r="A242" s="2"/>
      <c r="B242" s="8" t="s">
        <v>249</v>
      </c>
      <c r="C242" s="11"/>
      <c r="D242" s="11"/>
      <c r="E242" s="11"/>
      <c r="F242" s="11"/>
    </row>
    <row r="243" spans="1:6" ht="15.75">
      <c r="A243" s="4"/>
      <c r="B243" s="9" t="s">
        <v>250</v>
      </c>
      <c r="C243" s="13"/>
      <c r="D243" s="13"/>
      <c r="E243" s="13"/>
      <c r="F243" s="13"/>
    </row>
    <row r="244" spans="1:6">
      <c r="A244" s="3"/>
      <c r="B244" s="10" t="s">
        <v>251</v>
      </c>
      <c r="C244" s="12">
        <v>96</v>
      </c>
      <c r="D244" s="12" t="s">
        <v>42</v>
      </c>
      <c r="E244" s="12">
        <f t="shared" ref="E244:E250" si="15">(50)*(1)*(1 + (0))</f>
        <v>50</v>
      </c>
      <c r="F244" s="12">
        <f t="shared" ref="F244:F262" si="16">C244*E244</f>
        <v>4800</v>
      </c>
    </row>
    <row r="245" spans="1:6">
      <c r="A245" s="3"/>
      <c r="B245" s="10" t="s">
        <v>252</v>
      </c>
      <c r="C245" s="12">
        <v>64</v>
      </c>
      <c r="D245" s="12" t="s">
        <v>42</v>
      </c>
      <c r="E245" s="12">
        <f t="shared" si="15"/>
        <v>50</v>
      </c>
      <c r="F245" s="12">
        <f t="shared" si="16"/>
        <v>3200</v>
      </c>
    </row>
    <row r="246" spans="1:6">
      <c r="A246" s="3"/>
      <c r="B246" s="10" t="s">
        <v>253</v>
      </c>
      <c r="C246" s="12">
        <v>32</v>
      </c>
      <c r="D246" s="12" t="s">
        <v>42</v>
      </c>
      <c r="E246" s="12">
        <f t="shared" si="15"/>
        <v>50</v>
      </c>
      <c r="F246" s="12">
        <f t="shared" si="16"/>
        <v>1600</v>
      </c>
    </row>
    <row r="247" spans="1:6">
      <c r="A247" s="3"/>
      <c r="B247" s="10" t="s">
        <v>254</v>
      </c>
      <c r="C247" s="12">
        <v>32</v>
      </c>
      <c r="D247" s="12" t="s">
        <v>42</v>
      </c>
      <c r="E247" s="12">
        <f t="shared" si="15"/>
        <v>50</v>
      </c>
      <c r="F247" s="12">
        <f t="shared" si="16"/>
        <v>1600</v>
      </c>
    </row>
    <row r="248" spans="1:6">
      <c r="A248" s="3"/>
      <c r="B248" s="10" t="s">
        <v>255</v>
      </c>
      <c r="C248" s="12">
        <v>48</v>
      </c>
      <c r="D248" s="12" t="s">
        <v>42</v>
      </c>
      <c r="E248" s="12">
        <f t="shared" si="15"/>
        <v>50</v>
      </c>
      <c r="F248" s="12">
        <f t="shared" si="16"/>
        <v>2400</v>
      </c>
    </row>
    <row r="249" spans="1:6">
      <c r="A249" s="3"/>
      <c r="B249" s="10" t="s">
        <v>256</v>
      </c>
      <c r="C249" s="12">
        <v>4</v>
      </c>
      <c r="D249" s="12" t="s">
        <v>42</v>
      </c>
      <c r="E249" s="12">
        <f t="shared" si="15"/>
        <v>50</v>
      </c>
      <c r="F249" s="12">
        <f t="shared" si="16"/>
        <v>200</v>
      </c>
    </row>
    <row r="250" spans="1:6">
      <c r="A250" s="3"/>
      <c r="B250" s="10" t="s">
        <v>257</v>
      </c>
      <c r="C250" s="12">
        <v>48</v>
      </c>
      <c r="D250" s="12" t="s">
        <v>42</v>
      </c>
      <c r="E250" s="12">
        <f t="shared" si="15"/>
        <v>50</v>
      </c>
      <c r="F250" s="12">
        <f t="shared" si="16"/>
        <v>2400</v>
      </c>
    </row>
    <row r="251" spans="1:6">
      <c r="A251" s="3"/>
      <c r="B251" s="5" t="s">
        <v>258</v>
      </c>
      <c r="C251" s="12">
        <v>1</v>
      </c>
      <c r="D251" s="12" t="s">
        <v>19</v>
      </c>
      <c r="E251" s="12">
        <f>(400)*(1)*(1 + (0))</f>
        <v>400</v>
      </c>
      <c r="F251" s="12">
        <f t="shared" si="16"/>
        <v>400</v>
      </c>
    </row>
    <row r="252" spans="1:6">
      <c r="A252" s="3"/>
      <c r="B252" s="5" t="s">
        <v>259</v>
      </c>
      <c r="C252" s="12">
        <v>1463</v>
      </c>
      <c r="D252" s="12" t="s">
        <v>44</v>
      </c>
      <c r="E252" s="12">
        <f>(19.32)*(1)*(1 + (0))</f>
        <v>19.32</v>
      </c>
      <c r="F252" s="12">
        <f t="shared" si="16"/>
        <v>28265.16</v>
      </c>
    </row>
    <row r="253" spans="1:6">
      <c r="A253" s="3"/>
      <c r="B253" s="5" t="s">
        <v>260</v>
      </c>
      <c r="C253" s="12">
        <v>1020</v>
      </c>
      <c r="D253" s="12" t="s">
        <v>44</v>
      </c>
      <c r="E253" s="12">
        <f>(5.36)*(1)*(1 + (0))</f>
        <v>5.36</v>
      </c>
      <c r="F253" s="12">
        <f t="shared" si="16"/>
        <v>5467.2000000000007</v>
      </c>
    </row>
    <row r="254" spans="1:6">
      <c r="A254" s="3"/>
      <c r="B254" s="5" t="s">
        <v>261</v>
      </c>
      <c r="C254" s="12">
        <v>8</v>
      </c>
      <c r="D254" s="12" t="s">
        <v>21</v>
      </c>
      <c r="E254" s="12">
        <f>(160)*(1)*(1 + (0))</f>
        <v>160</v>
      </c>
      <c r="F254" s="12">
        <f t="shared" si="16"/>
        <v>1280</v>
      </c>
    </row>
    <row r="255" spans="1:6" ht="30">
      <c r="A255" s="3"/>
      <c r="B255" s="5" t="s">
        <v>262</v>
      </c>
      <c r="C255" s="12">
        <v>2</v>
      </c>
      <c r="D255" s="12" t="s">
        <v>21</v>
      </c>
      <c r="E255" s="12">
        <f>(380)*(1)*(1 + (0))</f>
        <v>380</v>
      </c>
      <c r="F255" s="12">
        <f t="shared" si="16"/>
        <v>760</v>
      </c>
    </row>
    <row r="256" spans="1:6" ht="30">
      <c r="A256" s="3"/>
      <c r="B256" s="5" t="s">
        <v>263</v>
      </c>
      <c r="C256" s="12">
        <v>10</v>
      </c>
      <c r="D256" s="12" t="s">
        <v>21</v>
      </c>
      <c r="E256" s="12">
        <f>(85)*(1)*(1 + (0))</f>
        <v>85</v>
      </c>
      <c r="F256" s="12">
        <f t="shared" si="16"/>
        <v>850</v>
      </c>
    </row>
    <row r="257" spans="1:6">
      <c r="A257" s="3"/>
      <c r="B257" s="5" t="s">
        <v>264</v>
      </c>
      <c r="C257" s="12">
        <v>216</v>
      </c>
      <c r="D257" s="12" t="s">
        <v>44</v>
      </c>
      <c r="E257" s="12">
        <f>(1)*(1)*(1 + (0))</f>
        <v>1</v>
      </c>
      <c r="F257" s="12">
        <f t="shared" si="16"/>
        <v>216</v>
      </c>
    </row>
    <row r="258" spans="1:6">
      <c r="A258" s="3"/>
      <c r="B258" s="5" t="s">
        <v>265</v>
      </c>
      <c r="C258" s="12">
        <v>8</v>
      </c>
      <c r="D258" s="12" t="s">
        <v>21</v>
      </c>
      <c r="E258" s="12">
        <f>(80)*(1)*(1 + (0))</f>
        <v>80</v>
      </c>
      <c r="F258" s="12">
        <f t="shared" si="16"/>
        <v>640</v>
      </c>
    </row>
    <row r="259" spans="1:6">
      <c r="A259" s="3"/>
      <c r="B259" s="5" t="s">
        <v>266</v>
      </c>
      <c r="C259" s="12">
        <v>4</v>
      </c>
      <c r="D259" s="12" t="s">
        <v>21</v>
      </c>
      <c r="E259" s="12">
        <f>(20)*(1)*(1 + (0))</f>
        <v>20</v>
      </c>
      <c r="F259" s="12">
        <f t="shared" si="16"/>
        <v>80</v>
      </c>
    </row>
    <row r="260" spans="1:6">
      <c r="A260" s="3"/>
      <c r="B260" s="5" t="s">
        <v>267</v>
      </c>
      <c r="C260" s="12">
        <v>10</v>
      </c>
      <c r="D260" s="12" t="s">
        <v>21</v>
      </c>
      <c r="E260" s="12">
        <f>(20)*(1)*(1 + (0))</f>
        <v>20</v>
      </c>
      <c r="F260" s="12">
        <f t="shared" si="16"/>
        <v>200</v>
      </c>
    </row>
    <row r="261" spans="1:6">
      <c r="A261" s="3"/>
      <c r="B261" s="5" t="s">
        <v>268</v>
      </c>
      <c r="C261" s="12">
        <v>5</v>
      </c>
      <c r="D261" s="12" t="s">
        <v>21</v>
      </c>
      <c r="E261" s="12">
        <f>(50)*(1)*(1 + (0))</f>
        <v>50</v>
      </c>
      <c r="F261" s="12">
        <f t="shared" si="16"/>
        <v>250</v>
      </c>
    </row>
    <row r="262" spans="1:6">
      <c r="A262" s="3"/>
      <c r="B262" s="5" t="s">
        <v>269</v>
      </c>
      <c r="C262" s="12">
        <v>1</v>
      </c>
      <c r="D262" s="12" t="s">
        <v>19</v>
      </c>
      <c r="E262" s="12">
        <f>(1200)*(1)*(1 + (0))</f>
        <v>1200</v>
      </c>
      <c r="F262" s="12">
        <f t="shared" si="16"/>
        <v>1200</v>
      </c>
    </row>
    <row r="263" spans="1:6" ht="18.75">
      <c r="A263" s="2"/>
      <c r="B263" s="8" t="s">
        <v>270</v>
      </c>
      <c r="C263" s="11"/>
      <c r="D263" s="11"/>
      <c r="E263" s="11"/>
      <c r="F263" s="11"/>
    </row>
    <row r="264" spans="1:6">
      <c r="A264" s="3"/>
      <c r="B264" s="5" t="s">
        <v>271</v>
      </c>
      <c r="C264" s="12">
        <v>4</v>
      </c>
      <c r="D264" s="12" t="s">
        <v>44</v>
      </c>
      <c r="E264" s="12">
        <f>(480)*(1)*(1 + (0))</f>
        <v>480</v>
      </c>
      <c r="F264" s="12">
        <f t="shared" ref="F264:F286" si="17">C264*E264</f>
        <v>1920</v>
      </c>
    </row>
    <row r="265" spans="1:6">
      <c r="A265" s="3"/>
      <c r="B265" s="5" t="s">
        <v>271</v>
      </c>
      <c r="C265" s="12">
        <v>3</v>
      </c>
      <c r="D265" s="12" t="s">
        <v>44</v>
      </c>
      <c r="E265" s="12">
        <f>(1200)*(1)*(1 + (0))</f>
        <v>1200</v>
      </c>
      <c r="F265" s="12">
        <f t="shared" si="17"/>
        <v>3600</v>
      </c>
    </row>
    <row r="266" spans="1:6">
      <c r="A266" s="3"/>
      <c r="B266" s="5" t="s">
        <v>272</v>
      </c>
      <c r="C266" s="12">
        <v>5.2</v>
      </c>
      <c r="D266" s="12" t="s">
        <v>44</v>
      </c>
      <c r="E266" s="12">
        <f>(300)*(1)*(1 + (0))</f>
        <v>300</v>
      </c>
      <c r="F266" s="12">
        <f t="shared" si="17"/>
        <v>1560</v>
      </c>
    </row>
    <row r="267" spans="1:6" ht="45">
      <c r="A267" s="3"/>
      <c r="B267" s="5" t="s">
        <v>273</v>
      </c>
      <c r="C267" s="12">
        <v>9.8000000000000007</v>
      </c>
      <c r="D267" s="12" t="s">
        <v>44</v>
      </c>
      <c r="E267" s="12">
        <f>(800)*(1)*(1 + (0))</f>
        <v>800</v>
      </c>
      <c r="F267" s="12">
        <f t="shared" si="17"/>
        <v>7840.0000000000009</v>
      </c>
    </row>
    <row r="268" spans="1:6" ht="30">
      <c r="A268" s="3"/>
      <c r="B268" s="5" t="s">
        <v>274</v>
      </c>
      <c r="C268" s="12">
        <v>7.72</v>
      </c>
      <c r="D268" s="12" t="s">
        <v>8</v>
      </c>
      <c r="E268" s="12">
        <f>(800)*(1)*(1 + (0))</f>
        <v>800</v>
      </c>
      <c r="F268" s="12">
        <f t="shared" si="17"/>
        <v>6176</v>
      </c>
    </row>
    <row r="269" spans="1:6">
      <c r="A269" s="3"/>
      <c r="B269" s="5" t="s">
        <v>275</v>
      </c>
      <c r="C269" s="12">
        <v>2.4</v>
      </c>
      <c r="D269" s="12" t="s">
        <v>8</v>
      </c>
      <c r="E269" s="12">
        <f>(360)*(1)*(1 + (0))</f>
        <v>360</v>
      </c>
      <c r="F269" s="12">
        <f t="shared" si="17"/>
        <v>864</v>
      </c>
    </row>
    <row r="270" spans="1:6" ht="30">
      <c r="A270" s="3"/>
      <c r="B270" s="5" t="s">
        <v>276</v>
      </c>
      <c r="C270" s="12">
        <v>1</v>
      </c>
      <c r="D270" s="12" t="s">
        <v>19</v>
      </c>
      <c r="E270" s="12">
        <f>(3000)*(1)*(1 + (0))</f>
        <v>3000</v>
      </c>
      <c r="F270" s="12">
        <f t="shared" si="17"/>
        <v>3000</v>
      </c>
    </row>
    <row r="271" spans="1:6">
      <c r="A271" s="3"/>
      <c r="B271" s="5" t="s">
        <v>277</v>
      </c>
      <c r="C271" s="12">
        <v>4.4000000000000004</v>
      </c>
      <c r="D271" s="12" t="s">
        <v>44</v>
      </c>
      <c r="E271" s="12">
        <f>(800)*(1)*(1 + (0))</f>
        <v>800</v>
      </c>
      <c r="F271" s="12">
        <f t="shared" si="17"/>
        <v>3520.0000000000005</v>
      </c>
    </row>
    <row r="272" spans="1:6" ht="30">
      <c r="A272" s="3"/>
      <c r="B272" s="5" t="s">
        <v>278</v>
      </c>
      <c r="C272" s="12">
        <v>2.2000000000000002</v>
      </c>
      <c r="D272" s="12" t="s">
        <v>44</v>
      </c>
      <c r="E272" s="12">
        <f>(600)*(1)*(1 + (0))</f>
        <v>600</v>
      </c>
      <c r="F272" s="12">
        <f t="shared" si="17"/>
        <v>1320</v>
      </c>
    </row>
    <row r="273" spans="1:6" ht="30">
      <c r="A273" s="3"/>
      <c r="B273" s="5" t="s">
        <v>279</v>
      </c>
      <c r="C273" s="12">
        <v>1.1000000000000001</v>
      </c>
      <c r="D273" s="12" t="s">
        <v>8</v>
      </c>
      <c r="E273" s="12">
        <f>(800)*(1)*(1 + (0))</f>
        <v>800</v>
      </c>
      <c r="F273" s="12">
        <f t="shared" si="17"/>
        <v>880.00000000000011</v>
      </c>
    </row>
    <row r="274" spans="1:6">
      <c r="A274" s="3"/>
      <c r="B274" s="5" t="s">
        <v>280</v>
      </c>
      <c r="C274" s="12">
        <v>0.6</v>
      </c>
      <c r="D274" s="12" t="s">
        <v>44</v>
      </c>
      <c r="E274" s="12">
        <f>(480)*(1)*(1 + (0))</f>
        <v>480</v>
      </c>
      <c r="F274" s="12">
        <f t="shared" si="17"/>
        <v>288</v>
      </c>
    </row>
    <row r="275" spans="1:6" ht="30">
      <c r="A275" s="3"/>
      <c r="B275" s="5" t="s">
        <v>281</v>
      </c>
      <c r="C275" s="12">
        <v>1.19</v>
      </c>
      <c r="D275" s="12" t="s">
        <v>8</v>
      </c>
      <c r="E275" s="12">
        <f>(800)*(1)*(1 + (0))</f>
        <v>800</v>
      </c>
      <c r="F275" s="12">
        <f t="shared" si="17"/>
        <v>952</v>
      </c>
    </row>
    <row r="276" spans="1:6">
      <c r="A276" s="3"/>
      <c r="B276" s="5" t="s">
        <v>282</v>
      </c>
      <c r="C276" s="12">
        <v>6.7</v>
      </c>
      <c r="D276" s="12" t="s">
        <v>44</v>
      </c>
      <c r="E276" s="12">
        <f>(1000)*(1)*(1 + (0))</f>
        <v>1000</v>
      </c>
      <c r="F276" s="12">
        <f t="shared" si="17"/>
        <v>6700</v>
      </c>
    </row>
    <row r="277" spans="1:6">
      <c r="A277" s="3"/>
      <c r="B277" s="5" t="s">
        <v>283</v>
      </c>
      <c r="C277" s="12">
        <v>2.2999999999999998</v>
      </c>
      <c r="D277" s="12" t="s">
        <v>44</v>
      </c>
      <c r="E277" s="12">
        <f>(400)*(1)*(1 + (0))</f>
        <v>400</v>
      </c>
      <c r="F277" s="12">
        <f t="shared" si="17"/>
        <v>919.99999999999989</v>
      </c>
    </row>
    <row r="278" spans="1:6">
      <c r="A278" s="3"/>
      <c r="B278" s="5" t="s">
        <v>284</v>
      </c>
      <c r="C278" s="12">
        <v>4.2</v>
      </c>
      <c r="D278" s="12" t="s">
        <v>44</v>
      </c>
      <c r="E278" s="12">
        <f>(1000)*(1)*(1 + (0))</f>
        <v>1000</v>
      </c>
      <c r="F278" s="12">
        <f t="shared" si="17"/>
        <v>4200</v>
      </c>
    </row>
    <row r="279" spans="1:6">
      <c r="A279" s="3"/>
      <c r="B279" s="5" t="s">
        <v>285</v>
      </c>
      <c r="C279" s="12">
        <v>4.2</v>
      </c>
      <c r="D279" s="12" t="s">
        <v>44</v>
      </c>
      <c r="E279" s="12">
        <f>(1000)*(1)*(1 + (0))</f>
        <v>1000</v>
      </c>
      <c r="F279" s="12">
        <f t="shared" si="17"/>
        <v>4200</v>
      </c>
    </row>
    <row r="280" spans="1:6">
      <c r="A280" s="3"/>
      <c r="B280" s="5" t="s">
        <v>286</v>
      </c>
      <c r="C280" s="12">
        <v>4.4000000000000004</v>
      </c>
      <c r="D280" s="12" t="s">
        <v>44</v>
      </c>
      <c r="E280" s="12">
        <f>(1200)*(1)*(1 + (0))</f>
        <v>1200</v>
      </c>
      <c r="F280" s="12">
        <f t="shared" si="17"/>
        <v>5280</v>
      </c>
    </row>
    <row r="281" spans="1:6">
      <c r="A281" s="3"/>
      <c r="B281" s="5" t="s">
        <v>287</v>
      </c>
      <c r="C281" s="12">
        <v>3.1</v>
      </c>
      <c r="D281" s="12" t="s">
        <v>44</v>
      </c>
      <c r="E281" s="12">
        <f>(600)*(1)*(1 + (0))</f>
        <v>600</v>
      </c>
      <c r="F281" s="12">
        <f t="shared" si="17"/>
        <v>1860</v>
      </c>
    </row>
    <row r="282" spans="1:6">
      <c r="A282" s="3"/>
      <c r="B282" s="5" t="s">
        <v>288</v>
      </c>
      <c r="C282" s="12">
        <v>1</v>
      </c>
      <c r="D282" s="12" t="s">
        <v>21</v>
      </c>
      <c r="E282" s="12">
        <f>(1200)*(1)*(1 + (0))</f>
        <v>1200</v>
      </c>
      <c r="F282" s="12">
        <f t="shared" si="17"/>
        <v>1200</v>
      </c>
    </row>
    <row r="283" spans="1:6">
      <c r="A283" s="3"/>
      <c r="B283" s="5" t="s">
        <v>289</v>
      </c>
      <c r="C283" s="12">
        <v>1</v>
      </c>
      <c r="D283" s="12" t="s">
        <v>21</v>
      </c>
      <c r="E283" s="12">
        <f>(400)*(1)*(1 + (0))</f>
        <v>400</v>
      </c>
      <c r="F283" s="12">
        <f t="shared" si="17"/>
        <v>400</v>
      </c>
    </row>
    <row r="284" spans="1:6">
      <c r="A284" s="3"/>
      <c r="B284" s="5" t="s">
        <v>290</v>
      </c>
      <c r="C284" s="12">
        <v>1</v>
      </c>
      <c r="D284" s="12" t="s">
        <v>21</v>
      </c>
      <c r="E284" s="12">
        <f>(400)*(1)*(1 + (0))</f>
        <v>400</v>
      </c>
      <c r="F284" s="12">
        <f t="shared" si="17"/>
        <v>400</v>
      </c>
    </row>
    <row r="285" spans="1:6">
      <c r="A285" s="3"/>
      <c r="B285" s="5" t="s">
        <v>291</v>
      </c>
      <c r="C285" s="12">
        <v>1.8</v>
      </c>
      <c r="D285" s="12" t="s">
        <v>44</v>
      </c>
      <c r="E285" s="12">
        <f>(600)*(1)*(1 + (0))</f>
        <v>600</v>
      </c>
      <c r="F285" s="12">
        <f t="shared" si="17"/>
        <v>1080</v>
      </c>
    </row>
    <row r="286" spans="1:6">
      <c r="A286" s="3"/>
      <c r="B286" s="5" t="s">
        <v>292</v>
      </c>
      <c r="C286" s="12">
        <v>1.9</v>
      </c>
      <c r="D286" s="12" t="s">
        <v>44</v>
      </c>
      <c r="E286" s="12">
        <f>(1000)*(1)*(1 + (0))</f>
        <v>1000</v>
      </c>
      <c r="F286" s="12">
        <f t="shared" si="17"/>
        <v>1900</v>
      </c>
    </row>
    <row r="287" spans="1:6" ht="18.75">
      <c r="A287" s="2"/>
      <c r="B287" s="8" t="s">
        <v>293</v>
      </c>
      <c r="C287" s="11"/>
      <c r="D287" s="11"/>
      <c r="E287" s="11"/>
      <c r="F287" s="11"/>
    </row>
    <row r="288" spans="1:6">
      <c r="A288" s="3"/>
      <c r="B288" s="5" t="s">
        <v>294</v>
      </c>
      <c r="C288" s="12">
        <v>3</v>
      </c>
      <c r="D288" s="12" t="s">
        <v>21</v>
      </c>
      <c r="E288" s="12">
        <f>(300)*(1)*(1 + (0))</f>
        <v>300</v>
      </c>
      <c r="F288" s="12">
        <f>C288*E288</f>
        <v>900</v>
      </c>
    </row>
    <row r="289" spans="1:6">
      <c r="A289" s="3"/>
      <c r="B289" s="5" t="s">
        <v>295</v>
      </c>
      <c r="C289" s="12">
        <v>1</v>
      </c>
      <c r="D289" s="12" t="s">
        <v>21</v>
      </c>
      <c r="E289" s="12">
        <f>(500)*(1)*(1 + (0))</f>
        <v>500</v>
      </c>
      <c r="F289" s="12">
        <f>C289*E289</f>
        <v>500</v>
      </c>
    </row>
    <row r="290" spans="1:6" ht="30">
      <c r="A290" s="3"/>
      <c r="B290" s="5" t="s">
        <v>296</v>
      </c>
      <c r="C290" s="12">
        <v>5.4</v>
      </c>
      <c r="D290" s="12" t="s">
        <v>44</v>
      </c>
      <c r="E290" s="12">
        <f>(80)*(1)*(1 + (0))</f>
        <v>80</v>
      </c>
      <c r="F290" s="12">
        <f>C290*E290</f>
        <v>432</v>
      </c>
    </row>
    <row r="291" spans="1:6" ht="18.75">
      <c r="A291" s="2"/>
      <c r="B291" s="8" t="s">
        <v>297</v>
      </c>
      <c r="C291" s="11"/>
      <c r="D291" s="11"/>
      <c r="E291" s="11"/>
      <c r="F291" s="11"/>
    </row>
    <row r="292" spans="1:6" ht="30">
      <c r="A292" s="3"/>
      <c r="B292" s="5" t="s">
        <v>298</v>
      </c>
      <c r="C292" s="12">
        <v>37</v>
      </c>
      <c r="D292" s="12" t="s">
        <v>8</v>
      </c>
      <c r="E292" s="12">
        <f>(50)*(1)*(1 + (0))</f>
        <v>50</v>
      </c>
      <c r="F292" s="12">
        <f>C292*E292</f>
        <v>1850</v>
      </c>
    </row>
    <row r="293" spans="1:6">
      <c r="A293" s="3"/>
      <c r="B293" s="5" t="s">
        <v>299</v>
      </c>
      <c r="C293" s="12">
        <v>5</v>
      </c>
      <c r="D293" s="12" t="s">
        <v>21</v>
      </c>
      <c r="E293" s="12">
        <f>(10)*(1)*(1 + (0))</f>
        <v>10</v>
      </c>
      <c r="F293" s="12">
        <f>C293*E293</f>
        <v>50</v>
      </c>
    </row>
    <row r="294" spans="1:6" ht="30">
      <c r="A294" s="3"/>
      <c r="B294" s="5" t="s">
        <v>300</v>
      </c>
      <c r="C294" s="12">
        <v>2</v>
      </c>
      <c r="D294" s="12" t="s">
        <v>21</v>
      </c>
      <c r="E294" s="12">
        <f>(380)*(1)*(1 + (0))</f>
        <v>380</v>
      </c>
      <c r="F294" s="12">
        <f>C294*E294</f>
        <v>760</v>
      </c>
    </row>
    <row r="295" spans="1:6" ht="18.75">
      <c r="A295" s="2"/>
      <c r="B295" s="8" t="s">
        <v>301</v>
      </c>
      <c r="C295" s="11"/>
      <c r="D295" s="11"/>
      <c r="E295" s="11"/>
      <c r="F295" s="11"/>
    </row>
    <row r="296" spans="1:6">
      <c r="A296" s="3"/>
      <c r="B296" s="5" t="s">
        <v>302</v>
      </c>
      <c r="C296" s="12">
        <v>31</v>
      </c>
      <c r="D296" s="12" t="s">
        <v>8</v>
      </c>
      <c r="E296" s="12">
        <f>(16)*(1)*(1 + (0.1))</f>
        <v>17.600000000000001</v>
      </c>
      <c r="F296" s="12">
        <f t="shared" ref="F296:F301" si="18">C296*E296</f>
        <v>545.6</v>
      </c>
    </row>
    <row r="297" spans="1:6">
      <c r="A297" s="3"/>
      <c r="B297" s="5" t="s">
        <v>303</v>
      </c>
      <c r="C297" s="12">
        <v>36.235275275970437</v>
      </c>
      <c r="D297" s="12" t="s">
        <v>8</v>
      </c>
      <c r="E297" s="12">
        <f>(68.5)*(1)*(1 + (0.1))</f>
        <v>75.350000000000009</v>
      </c>
      <c r="F297" s="12">
        <f t="shared" si="18"/>
        <v>2730.3279920443729</v>
      </c>
    </row>
    <row r="298" spans="1:6" ht="30">
      <c r="A298" s="3"/>
      <c r="B298" s="5" t="s">
        <v>304</v>
      </c>
      <c r="C298" s="12">
        <v>37</v>
      </c>
      <c r="D298" s="12" t="s">
        <v>8</v>
      </c>
      <c r="E298" s="12">
        <f>(50)*(1)*(1 + (0))</f>
        <v>50</v>
      </c>
      <c r="F298" s="12">
        <f t="shared" si="18"/>
        <v>1850</v>
      </c>
    </row>
    <row r="299" spans="1:6">
      <c r="A299" s="3"/>
      <c r="B299" s="5" t="s">
        <v>305</v>
      </c>
      <c r="C299" s="12">
        <v>31</v>
      </c>
      <c r="D299" s="12" t="s">
        <v>8</v>
      </c>
      <c r="E299" s="12">
        <f>(50)*(1)*(1 + (0))</f>
        <v>50</v>
      </c>
      <c r="F299" s="12">
        <f t="shared" si="18"/>
        <v>1550</v>
      </c>
    </row>
    <row r="300" spans="1:6">
      <c r="A300" s="3"/>
      <c r="B300" s="5" t="s">
        <v>306</v>
      </c>
      <c r="C300" s="12">
        <v>2</v>
      </c>
      <c r="D300" s="12" t="s">
        <v>21</v>
      </c>
      <c r="E300" s="12">
        <f>(150)*(1)*(1 + (0))</f>
        <v>150</v>
      </c>
      <c r="F300" s="12">
        <f t="shared" si="18"/>
        <v>300</v>
      </c>
    </row>
    <row r="301" spans="1:6">
      <c r="A301" s="3"/>
      <c r="B301" s="5" t="s">
        <v>307</v>
      </c>
      <c r="C301" s="12">
        <v>2</v>
      </c>
      <c r="D301" s="12" t="s">
        <v>21</v>
      </c>
      <c r="E301" s="12">
        <f>(200)*(1)*(1 + (0))</f>
        <v>200</v>
      </c>
      <c r="F301" s="12">
        <f t="shared" si="18"/>
        <v>400</v>
      </c>
    </row>
    <row r="302" spans="1:6" ht="18.75">
      <c r="A302" s="2"/>
      <c r="B302" s="8" t="s">
        <v>308</v>
      </c>
      <c r="C302" s="11"/>
      <c r="D302" s="11"/>
      <c r="E302" s="11"/>
      <c r="F302" s="11"/>
    </row>
    <row r="303" spans="1:6" ht="30">
      <c r="A303" s="3"/>
      <c r="B303" s="5" t="s">
        <v>309</v>
      </c>
      <c r="C303" s="12">
        <v>274</v>
      </c>
      <c r="D303" s="12" t="s">
        <v>8</v>
      </c>
      <c r="E303" s="12">
        <f>(70)*(1)*(1 + (0))</f>
        <v>70</v>
      </c>
      <c r="F303" s="12">
        <f>C303*E303</f>
        <v>19180</v>
      </c>
    </row>
    <row r="304" spans="1:6" ht="30">
      <c r="A304" s="3"/>
      <c r="B304" s="5" t="s">
        <v>310</v>
      </c>
      <c r="C304" s="12">
        <v>205</v>
      </c>
      <c r="D304" s="12" t="s">
        <v>21</v>
      </c>
      <c r="E304" s="12">
        <f>(40)*(1)*(1 + (0))</f>
        <v>40</v>
      </c>
      <c r="F304" s="12">
        <f>C304*E304</f>
        <v>8200</v>
      </c>
    </row>
    <row r="305" spans="1:6">
      <c r="A305" s="3"/>
      <c r="B305" s="5" t="s">
        <v>311</v>
      </c>
      <c r="C305" s="12">
        <v>86</v>
      </c>
      <c r="D305" s="12" t="s">
        <v>8</v>
      </c>
      <c r="E305" s="12">
        <f>(22)*(1)*(1 + (0))</f>
        <v>22</v>
      </c>
      <c r="F305" s="12">
        <f>C305*E305</f>
        <v>1892</v>
      </c>
    </row>
    <row r="306" spans="1:6" ht="18.75">
      <c r="A306" s="2"/>
      <c r="B306" s="8" t="s">
        <v>312</v>
      </c>
      <c r="C306" s="11"/>
      <c r="D306" s="11"/>
      <c r="E306" s="11"/>
      <c r="F306" s="11"/>
    </row>
    <row r="307" spans="1:6">
      <c r="A307" s="3"/>
      <c r="B307" s="5" t="s">
        <v>313</v>
      </c>
      <c r="C307" s="12">
        <v>9.9000000000000021</v>
      </c>
      <c r="D307" s="12" t="s">
        <v>8</v>
      </c>
      <c r="E307" s="12">
        <f>(250)*(1)*(1 + (0))</f>
        <v>250</v>
      </c>
      <c r="F307" s="12">
        <f>C307*E307</f>
        <v>2475.0000000000005</v>
      </c>
    </row>
    <row r="308" spans="1:6" ht="30">
      <c r="A308" s="3"/>
      <c r="B308" s="5" t="s">
        <v>314</v>
      </c>
      <c r="C308" s="12">
        <v>2</v>
      </c>
      <c r="D308" s="12" t="s">
        <v>8</v>
      </c>
      <c r="E308" s="12">
        <f>(100)*(1)*(1 + (0))</f>
        <v>100</v>
      </c>
      <c r="F308" s="12">
        <f>C308*E308</f>
        <v>200</v>
      </c>
    </row>
    <row r="309" spans="1:6" ht="30">
      <c r="A309" s="3"/>
      <c r="B309" s="5" t="s">
        <v>315</v>
      </c>
      <c r="C309" s="12">
        <v>3</v>
      </c>
      <c r="D309" s="12" t="s">
        <v>21</v>
      </c>
      <c r="E309" s="12">
        <f>(300)*(1)*(1 + (0))</f>
        <v>300</v>
      </c>
      <c r="F309" s="12">
        <f>C309*E309</f>
        <v>900</v>
      </c>
    </row>
    <row r="310" spans="1:6" ht="18.75">
      <c r="A310" s="2"/>
      <c r="B310" s="8" t="s">
        <v>316</v>
      </c>
      <c r="C310" s="11"/>
      <c r="D310" s="11"/>
      <c r="E310" s="11"/>
      <c r="F310" s="11"/>
    </row>
    <row r="311" spans="1:6">
      <c r="A311" s="3"/>
      <c r="B311" s="5" t="s">
        <v>317</v>
      </c>
      <c r="C311" s="12">
        <v>1</v>
      </c>
      <c r="D311" s="12" t="s">
        <v>21</v>
      </c>
      <c r="E311" s="12">
        <f>(1200)*(1)*(1 + (0))</f>
        <v>1200</v>
      </c>
      <c r="F311" s="12">
        <f t="shared" ref="F311:F329" si="19">C311*E311</f>
        <v>1200</v>
      </c>
    </row>
    <row r="312" spans="1:6">
      <c r="A312" s="3"/>
      <c r="B312" s="5" t="s">
        <v>318</v>
      </c>
      <c r="C312" s="12">
        <v>1</v>
      </c>
      <c r="D312" s="12" t="s">
        <v>21</v>
      </c>
      <c r="E312" s="12">
        <f>(158.61)*(1)*(1 + (0))</f>
        <v>158.61000000000001</v>
      </c>
      <c r="F312" s="12">
        <f t="shared" si="19"/>
        <v>158.61000000000001</v>
      </c>
    </row>
    <row r="313" spans="1:6" ht="30">
      <c r="A313" s="3"/>
      <c r="B313" s="5" t="s">
        <v>319</v>
      </c>
      <c r="C313" s="12">
        <v>3</v>
      </c>
      <c r="D313" s="12" t="s">
        <v>21</v>
      </c>
      <c r="E313" s="12">
        <f>(235)*(1)*(1 + (0))</f>
        <v>235</v>
      </c>
      <c r="F313" s="12">
        <f t="shared" si="19"/>
        <v>705</v>
      </c>
    </row>
    <row r="314" spans="1:6">
      <c r="A314" s="3"/>
      <c r="B314" s="5" t="s">
        <v>320</v>
      </c>
      <c r="C314" s="12">
        <v>2</v>
      </c>
      <c r="D314" s="12" t="s">
        <v>21</v>
      </c>
      <c r="E314" s="12">
        <f>(542)*(1)*(1 + (0))</f>
        <v>542</v>
      </c>
      <c r="F314" s="12">
        <f t="shared" si="19"/>
        <v>1084</v>
      </c>
    </row>
    <row r="315" spans="1:6" ht="45">
      <c r="A315" s="3"/>
      <c r="B315" s="5" t="s">
        <v>321</v>
      </c>
      <c r="C315" s="12">
        <v>2</v>
      </c>
      <c r="D315" s="12" t="s">
        <v>21</v>
      </c>
      <c r="E315" s="12">
        <f>(90)*(1)*(1 + (0))</f>
        <v>90</v>
      </c>
      <c r="F315" s="12">
        <f t="shared" si="19"/>
        <v>180</v>
      </c>
    </row>
    <row r="316" spans="1:6">
      <c r="A316" s="3"/>
      <c r="B316" s="5" t="s">
        <v>322</v>
      </c>
      <c r="C316" s="12">
        <v>1</v>
      </c>
      <c r="D316" s="12" t="s">
        <v>21</v>
      </c>
      <c r="E316" s="12">
        <f>(445)*(1)*(1 + (0))</f>
        <v>445</v>
      </c>
      <c r="F316" s="12">
        <f t="shared" si="19"/>
        <v>445</v>
      </c>
    </row>
    <row r="317" spans="1:6">
      <c r="A317" s="3"/>
      <c r="B317" s="5" t="s">
        <v>323</v>
      </c>
      <c r="C317" s="12">
        <v>1</v>
      </c>
      <c r="D317" s="12" t="s">
        <v>21</v>
      </c>
      <c r="E317" s="12">
        <f>(267)*(1)*(1 + (0))</f>
        <v>267</v>
      </c>
      <c r="F317" s="12">
        <f t="shared" si="19"/>
        <v>267</v>
      </c>
    </row>
    <row r="318" spans="1:6" ht="30">
      <c r="A318" s="3"/>
      <c r="B318" s="5" t="s">
        <v>324</v>
      </c>
      <c r="C318" s="12">
        <v>2</v>
      </c>
      <c r="D318" s="12" t="s">
        <v>21</v>
      </c>
      <c r="E318" s="12">
        <f>(25.42)*(1)*(1 + (0))</f>
        <v>25.42</v>
      </c>
      <c r="F318" s="12">
        <f t="shared" si="19"/>
        <v>50.84</v>
      </c>
    </row>
    <row r="319" spans="1:6">
      <c r="A319" s="3"/>
      <c r="B319" s="5" t="s">
        <v>325</v>
      </c>
      <c r="C319" s="12">
        <v>5</v>
      </c>
      <c r="D319" s="12" t="s">
        <v>21</v>
      </c>
      <c r="E319" s="12">
        <f>(372)*(1)*(1 + (0))</f>
        <v>372</v>
      </c>
      <c r="F319" s="12">
        <f t="shared" si="19"/>
        <v>1860</v>
      </c>
    </row>
    <row r="320" spans="1:6">
      <c r="A320" s="3"/>
      <c r="B320" s="5" t="s">
        <v>326</v>
      </c>
      <c r="C320" s="12">
        <v>1</v>
      </c>
      <c r="D320" s="12" t="s">
        <v>21</v>
      </c>
      <c r="E320" s="12">
        <f>(317)*(1)*(1 + (0))</f>
        <v>317</v>
      </c>
      <c r="F320" s="12">
        <f t="shared" si="19"/>
        <v>317</v>
      </c>
    </row>
    <row r="321" spans="1:6">
      <c r="A321" s="3"/>
      <c r="B321" s="5" t="s">
        <v>326</v>
      </c>
      <c r="C321" s="12">
        <v>1</v>
      </c>
      <c r="D321" s="12" t="s">
        <v>21</v>
      </c>
      <c r="E321" s="12">
        <f>(226)*(1)*(1 + (0))</f>
        <v>226</v>
      </c>
      <c r="F321" s="12">
        <f t="shared" si="19"/>
        <v>226</v>
      </c>
    </row>
    <row r="322" spans="1:6">
      <c r="A322" s="3"/>
      <c r="B322" s="5" t="s">
        <v>327</v>
      </c>
      <c r="C322" s="12">
        <v>1</v>
      </c>
      <c r="D322" s="12" t="s">
        <v>21</v>
      </c>
      <c r="E322" s="12">
        <f>(299)*(1)*(1 + (0))</f>
        <v>299</v>
      </c>
      <c r="F322" s="12">
        <f t="shared" si="19"/>
        <v>299</v>
      </c>
    </row>
    <row r="323" spans="1:6">
      <c r="A323" s="3"/>
      <c r="B323" s="5" t="s">
        <v>327</v>
      </c>
      <c r="C323" s="12">
        <v>1</v>
      </c>
      <c r="D323" s="12" t="s">
        <v>21</v>
      </c>
      <c r="E323" s="12">
        <f>(264)*(1)*(1 + (0))</f>
        <v>264</v>
      </c>
      <c r="F323" s="12">
        <f t="shared" si="19"/>
        <v>264</v>
      </c>
    </row>
    <row r="324" spans="1:6">
      <c r="A324" s="3"/>
      <c r="B324" s="5" t="s">
        <v>328</v>
      </c>
      <c r="C324" s="12">
        <v>6</v>
      </c>
      <c r="D324" s="12" t="s">
        <v>21</v>
      </c>
      <c r="E324" s="12">
        <f>(20)*(1)*(1 + (0))</f>
        <v>20</v>
      </c>
      <c r="F324" s="12">
        <f t="shared" si="19"/>
        <v>120</v>
      </c>
    </row>
    <row r="325" spans="1:6">
      <c r="A325" s="3"/>
      <c r="B325" s="5" t="s">
        <v>329</v>
      </c>
      <c r="C325" s="12">
        <v>4</v>
      </c>
      <c r="D325" s="12" t="s">
        <v>21</v>
      </c>
      <c r="E325" s="12">
        <f>(150)*(1)*(1 + (0))</f>
        <v>150</v>
      </c>
      <c r="F325" s="12">
        <f t="shared" si="19"/>
        <v>600</v>
      </c>
    </row>
    <row r="326" spans="1:6">
      <c r="A326" s="3"/>
      <c r="B326" s="5" t="s">
        <v>330</v>
      </c>
      <c r="C326" s="12">
        <v>2</v>
      </c>
      <c r="D326" s="12" t="s">
        <v>21</v>
      </c>
      <c r="E326" s="12">
        <f>(100)*(1)*(1 + (0))</f>
        <v>100</v>
      </c>
      <c r="F326" s="12">
        <f t="shared" si="19"/>
        <v>200</v>
      </c>
    </row>
    <row r="327" spans="1:6" ht="30">
      <c r="A327" s="3"/>
      <c r="B327" s="5" t="s">
        <v>331</v>
      </c>
      <c r="C327" s="12">
        <v>1</v>
      </c>
      <c r="D327" s="12" t="s">
        <v>21</v>
      </c>
      <c r="E327" s="12">
        <f>(418)*(1)*(1 + (0))</f>
        <v>418</v>
      </c>
      <c r="F327" s="12">
        <f t="shared" si="19"/>
        <v>418</v>
      </c>
    </row>
    <row r="328" spans="1:6">
      <c r="A328" s="3"/>
      <c r="B328" s="5" t="s">
        <v>332</v>
      </c>
      <c r="C328" s="12">
        <v>2</v>
      </c>
      <c r="D328" s="12" t="s">
        <v>21</v>
      </c>
      <c r="E328" s="12">
        <f>(608)*(1)*(1 + (0))</f>
        <v>608</v>
      </c>
      <c r="F328" s="12">
        <f t="shared" si="19"/>
        <v>1216</v>
      </c>
    </row>
    <row r="329" spans="1:6">
      <c r="A329" s="3"/>
      <c r="B329" s="5" t="s">
        <v>333</v>
      </c>
      <c r="C329" s="12">
        <v>4.2</v>
      </c>
      <c r="D329" s="12" t="s">
        <v>44</v>
      </c>
      <c r="E329" s="12">
        <f>(240)*(1)*(1 + (0))</f>
        <v>240</v>
      </c>
      <c r="F329" s="12">
        <f t="shared" si="19"/>
        <v>1008</v>
      </c>
    </row>
    <row r="330" spans="1:6" ht="18.75">
      <c r="A330" s="2"/>
      <c r="B330" s="8" t="s">
        <v>334</v>
      </c>
      <c r="C330" s="11"/>
      <c r="D330" s="11"/>
      <c r="E330" s="11"/>
      <c r="F330" s="11"/>
    </row>
    <row r="331" spans="1:6" ht="30">
      <c r="A331" s="3"/>
      <c r="B331" s="5" t="s">
        <v>335</v>
      </c>
      <c r="C331" s="12">
        <v>237</v>
      </c>
      <c r="D331" s="12" t="s">
        <v>8</v>
      </c>
      <c r="E331" s="12">
        <f>(29.5)*(1)*(1 + (0))</f>
        <v>29.5</v>
      </c>
      <c r="F331" s="12">
        <f>C331*E331</f>
        <v>6991.5</v>
      </c>
    </row>
    <row r="332" spans="1:6" ht="30">
      <c r="A332" s="3"/>
      <c r="B332" s="5" t="s">
        <v>336</v>
      </c>
      <c r="C332" s="12">
        <v>237</v>
      </c>
      <c r="D332" s="12" t="s">
        <v>8</v>
      </c>
      <c r="E332" s="12">
        <f>(1)*(1)*(1 + (0))</f>
        <v>1</v>
      </c>
      <c r="F332" s="12">
        <f>C332*E332</f>
        <v>237</v>
      </c>
    </row>
    <row r="333" spans="1:6">
      <c r="A333" s="3"/>
      <c r="B333" s="5" t="s">
        <v>337</v>
      </c>
      <c r="C333" s="12">
        <v>74</v>
      </c>
      <c r="D333" s="12" t="s">
        <v>8</v>
      </c>
      <c r="E333" s="12">
        <f>(22)*(1)*(1 + (0))</f>
        <v>22</v>
      </c>
      <c r="F333" s="12">
        <f>C333*E333</f>
        <v>1628</v>
      </c>
    </row>
    <row r="334" spans="1:6" ht="18.75">
      <c r="A334" s="2"/>
      <c r="B334" s="8" t="s">
        <v>338</v>
      </c>
      <c r="C334" s="11"/>
      <c r="D334" s="11"/>
      <c r="E334" s="11"/>
      <c r="F334" s="11"/>
    </row>
    <row r="335" spans="1:6">
      <c r="A335" s="3"/>
      <c r="B335" s="5" t="s">
        <v>339</v>
      </c>
      <c r="C335" s="12">
        <v>1</v>
      </c>
      <c r="D335" s="12" t="s">
        <v>21</v>
      </c>
      <c r="E335" s="12">
        <f>(770)*(1)*(1 + (0))</f>
        <v>770</v>
      </c>
      <c r="F335" s="12">
        <f>C335*E335</f>
        <v>770</v>
      </c>
    </row>
    <row r="336" spans="1:6">
      <c r="A336" s="3"/>
      <c r="B336" s="5" t="s">
        <v>340</v>
      </c>
      <c r="C336" s="12">
        <v>1</v>
      </c>
      <c r="D336" s="12" t="s">
        <v>21</v>
      </c>
      <c r="E336" s="12">
        <f>(2990)*(1)*(1 + (0))</f>
        <v>2990</v>
      </c>
      <c r="F336" s="12">
        <f>C336*E336</f>
        <v>2990</v>
      </c>
    </row>
    <row r="337" spans="1:6" ht="18.75">
      <c r="A337" s="2"/>
      <c r="B337" s="8" t="s">
        <v>341</v>
      </c>
      <c r="C337" s="11"/>
      <c r="D337" s="11"/>
      <c r="E337" s="11"/>
      <c r="F337" s="11"/>
    </row>
    <row r="338" spans="1:6">
      <c r="A338" s="3"/>
      <c r="B338" s="5" t="s">
        <v>342</v>
      </c>
      <c r="C338" s="12">
        <v>1</v>
      </c>
      <c r="D338" s="12" t="s">
        <v>19</v>
      </c>
      <c r="E338" s="12">
        <f>(2710)*(1)*(1 + (0))</f>
        <v>2710</v>
      </c>
      <c r="F338" s="12">
        <f>C338*E338</f>
        <v>2710</v>
      </c>
    </row>
    <row r="339" spans="1:6">
      <c r="A339" s="3"/>
      <c r="B339" s="5" t="s">
        <v>343</v>
      </c>
      <c r="C339" s="12">
        <v>8.3349046584845485</v>
      </c>
      <c r="D339" s="12" t="s">
        <v>8</v>
      </c>
      <c r="E339" s="12">
        <f>(140)*(1)*(1 + (0))</f>
        <v>140</v>
      </c>
      <c r="F339" s="12">
        <f>C339*E339</f>
        <v>1166.8866521878367</v>
      </c>
    </row>
    <row r="340" spans="1:6">
      <c r="A340" s="3"/>
      <c r="B340" s="5" t="s">
        <v>344</v>
      </c>
      <c r="C340" s="12">
        <v>173.68902050898433</v>
      </c>
      <c r="D340" s="12" t="s">
        <v>8</v>
      </c>
      <c r="E340" s="12">
        <f>(25)*(1)*(1 + (0))</f>
        <v>25</v>
      </c>
      <c r="F340" s="12">
        <f>C340*E340</f>
        <v>4342.2255127246081</v>
      </c>
    </row>
    <row r="341" spans="1:6" ht="18.75">
      <c r="A341" s="2"/>
      <c r="B341" s="8" t="s">
        <v>345</v>
      </c>
      <c r="C341" s="11"/>
      <c r="D341" s="11"/>
      <c r="E341" s="11"/>
      <c r="F341" s="11"/>
    </row>
    <row r="342" spans="1:6" ht="30">
      <c r="A342" s="3"/>
      <c r="B342" s="5" t="s">
        <v>346</v>
      </c>
      <c r="C342" s="12">
        <v>1</v>
      </c>
      <c r="D342" s="12" t="s">
        <v>21</v>
      </c>
      <c r="E342" s="12">
        <f>(3000)*(1)*(1 + (0))</f>
        <v>3000</v>
      </c>
      <c r="F342" s="12">
        <f>C342*E342</f>
        <v>3000</v>
      </c>
    </row>
    <row r="343" spans="1:6" ht="30">
      <c r="A343" s="3"/>
      <c r="B343" s="5" t="s">
        <v>347</v>
      </c>
      <c r="C343" s="12">
        <v>274</v>
      </c>
      <c r="D343" s="12" t="s">
        <v>8</v>
      </c>
      <c r="E343" s="12">
        <f>(7)*(1)*(1 + (0))</f>
        <v>7</v>
      </c>
      <c r="F343" s="12">
        <f>C343*E343</f>
        <v>1918</v>
      </c>
    </row>
    <row r="344" spans="1:6">
      <c r="A344" s="3"/>
      <c r="B344" s="5" t="s">
        <v>348</v>
      </c>
      <c r="C344" s="12">
        <v>10</v>
      </c>
      <c r="D344" s="12" t="s">
        <v>21</v>
      </c>
      <c r="E344" s="12">
        <f>(500)*(1)*(1 + (0))</f>
        <v>500</v>
      </c>
      <c r="F344" s="12">
        <f>C344*E344</f>
        <v>5000</v>
      </c>
    </row>
    <row r="345" spans="1:6">
      <c r="A345" s="5"/>
      <c r="B345" s="5"/>
      <c r="C345" s="12"/>
      <c r="D345" s="12"/>
      <c r="E345" s="12"/>
      <c r="F345" s="12"/>
    </row>
    <row r="346" spans="1:6" ht="17.25">
      <c r="A346" s="6" t="s">
        <v>349</v>
      </c>
      <c r="B346" s="6"/>
      <c r="C346" s="6"/>
      <c r="D346" s="6"/>
      <c r="E346" s="6"/>
      <c r="F346" s="6">
        <f>(SUM(F2:F345))</f>
        <v>860142.73062918335</v>
      </c>
    </row>
    <row r="347" spans="1:6" ht="17.25">
      <c r="A347" s="6" t="s">
        <v>350</v>
      </c>
      <c r="B347" s="6"/>
      <c r="C347" s="6"/>
      <c r="D347" s="6"/>
      <c r="E347" s="6"/>
      <c r="F347" s="6">
        <v>129037.19000000054</v>
      </c>
    </row>
    <row r="348" spans="1:6" ht="17.25">
      <c r="A348" s="6" t="s">
        <v>351</v>
      </c>
      <c r="B348" s="6"/>
      <c r="C348" s="6"/>
      <c r="D348" s="6"/>
      <c r="E348" s="6"/>
      <c r="F348" s="6">
        <f>0.1*(SUM(F346:F347))</f>
        <v>98917.992062918391</v>
      </c>
    </row>
    <row r="349" spans="1:6" ht="18.75">
      <c r="A349" s="7" t="s">
        <v>5</v>
      </c>
      <c r="B349" s="7"/>
      <c r="C349" s="7"/>
      <c r="D349" s="7"/>
      <c r="E349" s="7"/>
      <c r="F349" s="7">
        <f>SUM(F346:F348)</f>
        <v>1088097.9126921024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9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/>
    </sheetView>
  </sheetViews>
  <sheetFormatPr defaultRowHeight="15"/>
  <cols>
    <col min="1" max="1" width="13.7109375" customWidth="1"/>
    <col min="2" max="2" width="30" customWidth="1"/>
    <col min="3" max="3" width="12.85546875" customWidth="1"/>
    <col min="4" max="5" width="9.140625" customWidth="1"/>
    <col min="6" max="6" width="9.85546875" customWidth="1"/>
    <col min="7" max="7" width="20" customWidth="1"/>
  </cols>
  <sheetData>
    <row r="1" spans="1:7" ht="17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352</v>
      </c>
      <c r="G1" s="1" t="s">
        <v>5</v>
      </c>
    </row>
    <row r="2" spans="1:7" ht="18.75">
      <c r="A2" s="2"/>
      <c r="B2" s="8" t="s">
        <v>6</v>
      </c>
      <c r="C2" s="11"/>
      <c r="D2" s="11"/>
      <c r="E2" s="11"/>
      <c r="F2" s="11"/>
      <c r="G2" s="11"/>
    </row>
    <row r="3" spans="1:7">
      <c r="A3" s="3"/>
      <c r="B3" s="5" t="s">
        <v>7</v>
      </c>
      <c r="C3" s="12">
        <v>273.2</v>
      </c>
      <c r="D3" s="12" t="s">
        <v>8</v>
      </c>
      <c r="E3" s="12">
        <f>(0)*(1)</f>
        <v>0</v>
      </c>
      <c r="F3" s="12">
        <v>0</v>
      </c>
      <c r="G3" s="12">
        <f xml:space="preserve"> (C3 * E3 + C3 * E3 * F3)</f>
        <v>0</v>
      </c>
    </row>
    <row r="4" spans="1:7">
      <c r="A4" s="3"/>
      <c r="B4" s="5" t="s">
        <v>9</v>
      </c>
      <c r="C4" s="12">
        <v>50.1</v>
      </c>
      <c r="D4" s="12" t="s">
        <v>8</v>
      </c>
      <c r="E4" s="12">
        <f>(0)*(1)</f>
        <v>0</v>
      </c>
      <c r="F4" s="12">
        <v>0</v>
      </c>
      <c r="G4" s="12">
        <f xml:space="preserve"> (C4 * E4 + C4 * E4 * F4)</f>
        <v>0</v>
      </c>
    </row>
    <row r="5" spans="1:7">
      <c r="A5" s="3"/>
      <c r="B5" s="5" t="s">
        <v>10</v>
      </c>
      <c r="C5" s="12">
        <v>74</v>
      </c>
      <c r="D5" s="12" t="s">
        <v>8</v>
      </c>
      <c r="E5" s="12">
        <f>(0)*(1)</f>
        <v>0</v>
      </c>
      <c r="F5" s="12">
        <v>0</v>
      </c>
      <c r="G5" s="12">
        <f xml:space="preserve"> (C5 * E5 + C5 * E5 * F5)</f>
        <v>0</v>
      </c>
    </row>
    <row r="6" spans="1:7">
      <c r="A6" s="3"/>
      <c r="B6" s="5" t="s">
        <v>11</v>
      </c>
      <c r="C6" s="12">
        <v>19.100000000000001</v>
      </c>
      <c r="D6" s="12" t="s">
        <v>8</v>
      </c>
      <c r="E6" s="12">
        <f>(0)*(1)</f>
        <v>0</v>
      </c>
      <c r="F6" s="12">
        <v>0</v>
      </c>
      <c r="G6" s="12">
        <f xml:space="preserve"> (C6 * E6 + C6 * E6 * F6)</f>
        <v>0</v>
      </c>
    </row>
    <row r="7" spans="1:7" ht="18.75">
      <c r="A7" s="2"/>
      <c r="B7" s="8" t="s">
        <v>12</v>
      </c>
      <c r="C7" s="11"/>
      <c r="D7" s="11"/>
      <c r="E7" s="11"/>
      <c r="F7" s="11"/>
      <c r="G7" s="11"/>
    </row>
    <row r="8" spans="1:7" ht="30">
      <c r="A8" s="3"/>
      <c r="B8" s="5" t="s">
        <v>13</v>
      </c>
      <c r="C8" s="12">
        <v>850000</v>
      </c>
      <c r="D8" s="12" t="s">
        <v>14</v>
      </c>
      <c r="E8" s="12">
        <f>(0.0025)*(1)</f>
        <v>2.5000000000000001E-3</v>
      </c>
      <c r="F8" s="12">
        <v>0</v>
      </c>
      <c r="G8" s="12">
        <f t="shared" ref="G8:G13" si="0" xml:space="preserve"> (C8 * E8 + C8 * E8 * F8)</f>
        <v>2125</v>
      </c>
    </row>
    <row r="9" spans="1:7" ht="30">
      <c r="A9" s="3"/>
      <c r="B9" s="5" t="s">
        <v>15</v>
      </c>
      <c r="C9" s="12">
        <v>1116000</v>
      </c>
      <c r="D9" s="12" t="s">
        <v>14</v>
      </c>
      <c r="E9" s="12">
        <f>(0.03)*(1)</f>
        <v>0.03</v>
      </c>
      <c r="F9" s="12">
        <v>0</v>
      </c>
      <c r="G9" s="12">
        <f t="shared" si="0"/>
        <v>33480</v>
      </c>
    </row>
    <row r="10" spans="1:7" ht="30">
      <c r="A10" s="3"/>
      <c r="B10" s="5" t="s">
        <v>16</v>
      </c>
      <c r="C10" s="12">
        <v>1</v>
      </c>
      <c r="D10" s="12" t="s">
        <v>17</v>
      </c>
      <c r="E10" s="12">
        <f>(4002)*(1)</f>
        <v>4002</v>
      </c>
      <c r="F10" s="12">
        <v>0</v>
      </c>
      <c r="G10" s="12">
        <f t="shared" si="0"/>
        <v>4002</v>
      </c>
    </row>
    <row r="11" spans="1:7">
      <c r="A11" s="3"/>
      <c r="B11" s="5" t="s">
        <v>18</v>
      </c>
      <c r="C11" s="12">
        <v>1</v>
      </c>
      <c r="D11" s="12" t="s">
        <v>19</v>
      </c>
      <c r="E11" s="12">
        <f>(1800)*(1)</f>
        <v>1800</v>
      </c>
      <c r="F11" s="12">
        <v>0</v>
      </c>
      <c r="G11" s="12">
        <f t="shared" si="0"/>
        <v>1800</v>
      </c>
    </row>
    <row r="12" spans="1:7">
      <c r="A12" s="3"/>
      <c r="B12" s="5" t="s">
        <v>20</v>
      </c>
      <c r="C12" s="12">
        <v>1</v>
      </c>
      <c r="D12" s="12" t="s">
        <v>21</v>
      </c>
      <c r="E12" s="12">
        <f>(1200)*(1)</f>
        <v>1200</v>
      </c>
      <c r="F12" s="12">
        <v>0</v>
      </c>
      <c r="G12" s="12">
        <f t="shared" si="0"/>
        <v>1200</v>
      </c>
    </row>
    <row r="13" spans="1:7">
      <c r="A13" s="3"/>
      <c r="B13" s="5" t="s">
        <v>22</v>
      </c>
      <c r="C13" s="12">
        <v>1</v>
      </c>
      <c r="D13" s="12" t="s">
        <v>19</v>
      </c>
      <c r="E13" s="12">
        <f>(4000)*(1)</f>
        <v>4000</v>
      </c>
      <c r="F13" s="12">
        <v>0</v>
      </c>
      <c r="G13" s="12">
        <f t="shared" si="0"/>
        <v>4000</v>
      </c>
    </row>
    <row r="14" spans="1:7" ht="18.75">
      <c r="A14" s="2"/>
      <c r="B14" s="8" t="s">
        <v>23</v>
      </c>
      <c r="C14" s="11"/>
      <c r="D14" s="11"/>
      <c r="E14" s="11"/>
      <c r="F14" s="11"/>
      <c r="G14" s="11"/>
    </row>
    <row r="15" spans="1:7" ht="30">
      <c r="A15" s="3"/>
      <c r="B15" s="5" t="s">
        <v>24</v>
      </c>
      <c r="C15" s="12">
        <v>1</v>
      </c>
      <c r="D15" s="12" t="s">
        <v>21</v>
      </c>
      <c r="E15" s="12">
        <f>(345.6)*(1)</f>
        <v>345.6</v>
      </c>
      <c r="F15" s="12">
        <v>0</v>
      </c>
      <c r="G15" s="12">
        <f t="shared" ref="G15:G24" si="1" xml:space="preserve"> (C15 * E15 + C15 * E15 * F15)</f>
        <v>345.6</v>
      </c>
    </row>
    <row r="16" spans="1:7" ht="30">
      <c r="A16" s="3"/>
      <c r="B16" s="5" t="s">
        <v>25</v>
      </c>
      <c r="C16" s="12">
        <v>24</v>
      </c>
      <c r="D16" s="12" t="s">
        <v>26</v>
      </c>
      <c r="E16" s="12">
        <f>(21.6)*(1)</f>
        <v>21.6</v>
      </c>
      <c r="F16" s="12">
        <v>0</v>
      </c>
      <c r="G16" s="12">
        <f t="shared" si="1"/>
        <v>518.40000000000009</v>
      </c>
    </row>
    <row r="17" spans="1:7">
      <c r="A17" s="3"/>
      <c r="B17" s="5" t="s">
        <v>27</v>
      </c>
      <c r="C17" s="12">
        <v>10</v>
      </c>
      <c r="D17" s="12" t="s">
        <v>21</v>
      </c>
      <c r="E17" s="12">
        <f>(25)*(1)</f>
        <v>25</v>
      </c>
      <c r="F17" s="12">
        <v>0</v>
      </c>
      <c r="G17" s="12">
        <f t="shared" si="1"/>
        <v>250</v>
      </c>
    </row>
    <row r="18" spans="1:7" ht="30">
      <c r="A18" s="3"/>
      <c r="B18" s="5" t="s">
        <v>28</v>
      </c>
      <c r="C18" s="12">
        <v>1</v>
      </c>
      <c r="D18" s="12" t="s">
        <v>17</v>
      </c>
      <c r="E18" s="12">
        <f>(285)*(1)</f>
        <v>285</v>
      </c>
      <c r="F18" s="12">
        <v>0</v>
      </c>
      <c r="G18" s="12">
        <f t="shared" si="1"/>
        <v>285</v>
      </c>
    </row>
    <row r="19" spans="1:7">
      <c r="A19" s="3"/>
      <c r="B19" s="5" t="s">
        <v>29</v>
      </c>
      <c r="C19" s="12">
        <v>10</v>
      </c>
      <c r="D19" s="12" t="s">
        <v>30</v>
      </c>
      <c r="E19" s="12">
        <f>(85)*(1)</f>
        <v>85</v>
      </c>
      <c r="F19" s="12">
        <v>0</v>
      </c>
      <c r="G19" s="12">
        <f t="shared" si="1"/>
        <v>850</v>
      </c>
    </row>
    <row r="20" spans="1:7">
      <c r="A20" s="3"/>
      <c r="B20" s="5" t="s">
        <v>31</v>
      </c>
      <c r="C20" s="12">
        <v>40</v>
      </c>
      <c r="D20" s="12" t="s">
        <v>19</v>
      </c>
      <c r="E20" s="12">
        <f>(75)*(1)</f>
        <v>75</v>
      </c>
      <c r="F20" s="12">
        <v>0</v>
      </c>
      <c r="G20" s="12">
        <f t="shared" si="1"/>
        <v>3000</v>
      </c>
    </row>
    <row r="21" spans="1:7">
      <c r="A21" s="3"/>
      <c r="B21" s="5" t="s">
        <v>32</v>
      </c>
      <c r="C21" s="12">
        <v>1</v>
      </c>
      <c r="D21" s="12" t="s">
        <v>21</v>
      </c>
      <c r="E21" s="12">
        <f>(91)*(1)</f>
        <v>91</v>
      </c>
      <c r="F21" s="12">
        <v>0</v>
      </c>
      <c r="G21" s="12">
        <f t="shared" si="1"/>
        <v>91</v>
      </c>
    </row>
    <row r="22" spans="1:7" ht="30">
      <c r="A22" s="3"/>
      <c r="B22" s="5" t="s">
        <v>33</v>
      </c>
      <c r="C22" s="12">
        <v>1</v>
      </c>
      <c r="D22" s="12" t="s">
        <v>21</v>
      </c>
      <c r="E22" s="12">
        <f>(540)*(1)</f>
        <v>540</v>
      </c>
      <c r="F22" s="12">
        <v>0</v>
      </c>
      <c r="G22" s="12">
        <f t="shared" si="1"/>
        <v>540</v>
      </c>
    </row>
    <row r="23" spans="1:7" ht="30">
      <c r="A23" s="3"/>
      <c r="B23" s="5" t="s">
        <v>34</v>
      </c>
      <c r="C23" s="12">
        <v>1</v>
      </c>
      <c r="D23" s="12" t="s">
        <v>19</v>
      </c>
      <c r="E23" s="12">
        <f>(1000)*(1)</f>
        <v>1000</v>
      </c>
      <c r="F23" s="12">
        <v>0</v>
      </c>
      <c r="G23" s="12">
        <f t="shared" si="1"/>
        <v>1000</v>
      </c>
    </row>
    <row r="24" spans="1:7">
      <c r="A24" s="3"/>
      <c r="B24" s="5" t="s">
        <v>35</v>
      </c>
      <c r="C24" s="12">
        <v>2</v>
      </c>
      <c r="D24" s="12" t="s">
        <v>21</v>
      </c>
      <c r="E24" s="12">
        <f>(100)*(1)</f>
        <v>100</v>
      </c>
      <c r="F24" s="12">
        <v>0</v>
      </c>
      <c r="G24" s="12">
        <f t="shared" si="1"/>
        <v>200</v>
      </c>
    </row>
    <row r="25" spans="1:7" ht="18.75">
      <c r="A25" s="2"/>
      <c r="B25" s="8" t="s">
        <v>36</v>
      </c>
      <c r="C25" s="11"/>
      <c r="D25" s="11"/>
      <c r="E25" s="11"/>
      <c r="F25" s="11"/>
      <c r="G25" s="11"/>
    </row>
    <row r="26" spans="1:7" ht="60">
      <c r="A26" s="3"/>
      <c r="B26" s="5" t="s">
        <v>37</v>
      </c>
      <c r="C26" s="12">
        <v>760.46117928726767</v>
      </c>
      <c r="D26" s="12" t="s">
        <v>17</v>
      </c>
      <c r="E26" s="12">
        <f>(2)*(1)</f>
        <v>2</v>
      </c>
      <c r="F26" s="12">
        <v>0</v>
      </c>
      <c r="G26" s="12">
        <f xml:space="preserve"> (C26 * E26 + C26 * E26 * F26)</f>
        <v>1520.9223585745353</v>
      </c>
    </row>
    <row r="27" spans="1:7" ht="30">
      <c r="A27" s="3"/>
      <c r="B27" s="5" t="s">
        <v>38</v>
      </c>
      <c r="C27" s="12">
        <v>1</v>
      </c>
      <c r="D27" s="12" t="s">
        <v>19</v>
      </c>
      <c r="E27" s="12">
        <f>(720)*(1)</f>
        <v>720</v>
      </c>
      <c r="F27" s="12">
        <v>0</v>
      </c>
      <c r="G27" s="12">
        <f xml:space="preserve"> (C27 * E27 + C27 * E27 * F27)</f>
        <v>720</v>
      </c>
    </row>
    <row r="28" spans="1:7" ht="30">
      <c r="A28" s="3"/>
      <c r="B28" s="5" t="s">
        <v>39</v>
      </c>
      <c r="C28" s="12">
        <v>1</v>
      </c>
      <c r="D28" s="12" t="s">
        <v>17</v>
      </c>
      <c r="E28" s="12">
        <f>(1200)*(1)</f>
        <v>1200</v>
      </c>
      <c r="F28" s="12">
        <v>0</v>
      </c>
      <c r="G28" s="12">
        <f xml:space="preserve"> (C28 * E28 + C28 * E28 * F28)</f>
        <v>1200</v>
      </c>
    </row>
    <row r="29" spans="1:7" ht="18.75">
      <c r="A29" s="2"/>
      <c r="B29" s="8" t="s">
        <v>40</v>
      </c>
      <c r="C29" s="11"/>
      <c r="D29" s="11"/>
      <c r="E29" s="11"/>
      <c r="F29" s="11"/>
      <c r="G29" s="11"/>
    </row>
    <row r="30" spans="1:7" ht="30">
      <c r="A30" s="3"/>
      <c r="B30" s="5" t="s">
        <v>41</v>
      </c>
      <c r="C30" s="12">
        <v>8</v>
      </c>
      <c r="D30" s="12" t="s">
        <v>42</v>
      </c>
      <c r="E30" s="12">
        <f>(200)*(1)</f>
        <v>200</v>
      </c>
      <c r="F30" s="12">
        <v>0</v>
      </c>
      <c r="G30" s="12">
        <f xml:space="preserve"> (C30 * E30 + C30 * E30 * F30)</f>
        <v>1600</v>
      </c>
    </row>
    <row r="31" spans="1:7" ht="30">
      <c r="A31" s="3"/>
      <c r="B31" s="5" t="s">
        <v>43</v>
      </c>
      <c r="C31" s="12">
        <v>118</v>
      </c>
      <c r="D31" s="12" t="s">
        <v>44</v>
      </c>
      <c r="E31" s="12">
        <f>(15)*(1)</f>
        <v>15</v>
      </c>
      <c r="F31" s="12">
        <v>0</v>
      </c>
      <c r="G31" s="12">
        <f xml:space="preserve"> (C31 * E31 + C31 * E31 * F31)</f>
        <v>1770</v>
      </c>
    </row>
    <row r="32" spans="1:7">
      <c r="A32" s="3"/>
      <c r="B32" s="5" t="s">
        <v>45</v>
      </c>
      <c r="C32" s="12">
        <v>6</v>
      </c>
      <c r="D32" s="12" t="s">
        <v>46</v>
      </c>
      <c r="E32" s="12">
        <f>(360)*(1)</f>
        <v>360</v>
      </c>
      <c r="F32" s="12">
        <v>0</v>
      </c>
      <c r="G32" s="12">
        <f xml:space="preserve"> (C32 * E32 + C32 * E32 * F32)</f>
        <v>2160</v>
      </c>
    </row>
    <row r="33" spans="1:7" ht="18.75">
      <c r="A33" s="2"/>
      <c r="B33" s="8" t="s">
        <v>47</v>
      </c>
      <c r="C33" s="11"/>
      <c r="D33" s="11"/>
      <c r="E33" s="11"/>
      <c r="F33" s="11"/>
      <c r="G33" s="11"/>
    </row>
    <row r="34" spans="1:7">
      <c r="A34" s="3"/>
      <c r="B34" s="5" t="s">
        <v>48</v>
      </c>
      <c r="C34" s="12">
        <v>40</v>
      </c>
      <c r="D34" s="12" t="s">
        <v>44</v>
      </c>
      <c r="E34" s="12">
        <f>(45)*(1)</f>
        <v>45</v>
      </c>
      <c r="F34" s="12">
        <v>0</v>
      </c>
      <c r="G34" s="12">
        <f t="shared" ref="G34:G40" si="2" xml:space="preserve"> (C34 * E34 + C34 * E34 * F34)</f>
        <v>1800</v>
      </c>
    </row>
    <row r="35" spans="1:7" ht="30">
      <c r="A35" s="3"/>
      <c r="B35" s="5" t="s">
        <v>49</v>
      </c>
      <c r="C35" s="12">
        <v>89.001113075429629</v>
      </c>
      <c r="D35" s="12" t="s">
        <v>44</v>
      </c>
      <c r="E35" s="12">
        <f>(45)*(1)</f>
        <v>45</v>
      </c>
      <c r="F35" s="12">
        <v>0</v>
      </c>
      <c r="G35" s="12">
        <f t="shared" si="2"/>
        <v>4005.0500883943332</v>
      </c>
    </row>
    <row r="36" spans="1:7" ht="30">
      <c r="A36" s="3"/>
      <c r="B36" s="5" t="s">
        <v>50</v>
      </c>
      <c r="C36" s="12">
        <v>180</v>
      </c>
      <c r="D36" s="12" t="s">
        <v>44</v>
      </c>
      <c r="E36" s="12">
        <f>(25)*(1)</f>
        <v>25</v>
      </c>
      <c r="F36" s="12">
        <v>0</v>
      </c>
      <c r="G36" s="12">
        <f t="shared" si="2"/>
        <v>4500</v>
      </c>
    </row>
    <row r="37" spans="1:7" ht="30">
      <c r="A37" s="3"/>
      <c r="B37" s="5" t="s">
        <v>51</v>
      </c>
      <c r="C37" s="12">
        <v>6</v>
      </c>
      <c r="D37" s="12" t="s">
        <v>21</v>
      </c>
      <c r="E37" s="12">
        <f>(1655)*(1)</f>
        <v>1655</v>
      </c>
      <c r="F37" s="12">
        <v>0</v>
      </c>
      <c r="G37" s="12">
        <f t="shared" si="2"/>
        <v>9930</v>
      </c>
    </row>
    <row r="38" spans="1:7">
      <c r="A38" s="3"/>
      <c r="B38" s="5" t="s">
        <v>52</v>
      </c>
      <c r="C38" s="12">
        <v>6</v>
      </c>
      <c r="D38" s="12" t="s">
        <v>21</v>
      </c>
      <c r="E38" s="12">
        <f>(500)*(1)</f>
        <v>500</v>
      </c>
      <c r="F38" s="12">
        <v>0</v>
      </c>
      <c r="G38" s="12">
        <f t="shared" si="2"/>
        <v>3000</v>
      </c>
    </row>
    <row r="39" spans="1:7">
      <c r="A39" s="3"/>
      <c r="B39" s="5" t="s">
        <v>53</v>
      </c>
      <c r="C39" s="12">
        <v>2</v>
      </c>
      <c r="D39" s="12" t="s">
        <v>21</v>
      </c>
      <c r="E39" s="12">
        <f>(500)*(1)</f>
        <v>500</v>
      </c>
      <c r="F39" s="12">
        <v>0</v>
      </c>
      <c r="G39" s="12">
        <f t="shared" si="2"/>
        <v>1000</v>
      </c>
    </row>
    <row r="40" spans="1:7">
      <c r="A40" s="3"/>
      <c r="B40" s="5" t="s">
        <v>54</v>
      </c>
      <c r="C40" s="12">
        <v>1</v>
      </c>
      <c r="D40" s="12" t="s">
        <v>21</v>
      </c>
      <c r="E40" s="12">
        <f>(1300)*(1)</f>
        <v>1300</v>
      </c>
      <c r="F40" s="12">
        <v>0</v>
      </c>
      <c r="G40" s="12">
        <f t="shared" si="2"/>
        <v>1300</v>
      </c>
    </row>
    <row r="41" spans="1:7" ht="18.75">
      <c r="A41" s="2"/>
      <c r="B41" s="8" t="s">
        <v>55</v>
      </c>
      <c r="C41" s="11"/>
      <c r="D41" s="11"/>
      <c r="E41" s="11"/>
      <c r="F41" s="11"/>
      <c r="G41" s="11"/>
    </row>
    <row r="42" spans="1:7" ht="30">
      <c r="A42" s="3"/>
      <c r="B42" s="5" t="s">
        <v>56</v>
      </c>
      <c r="C42" s="12">
        <v>350</v>
      </c>
      <c r="D42" s="12" t="s">
        <v>8</v>
      </c>
      <c r="E42" s="12">
        <f>(3.3)*(1)</f>
        <v>3.3</v>
      </c>
      <c r="F42" s="12">
        <v>0</v>
      </c>
      <c r="G42" s="12">
        <f xml:space="preserve"> (C42 * E42 + C42 * E42 * F42)</f>
        <v>1155</v>
      </c>
    </row>
    <row r="43" spans="1:7" ht="30">
      <c r="A43" s="3"/>
      <c r="B43" s="5" t="s">
        <v>57</v>
      </c>
      <c r="C43" s="12">
        <v>113</v>
      </c>
      <c r="D43" s="12" t="s">
        <v>44</v>
      </c>
      <c r="E43" s="12">
        <f>(5.5)*(1)</f>
        <v>5.5</v>
      </c>
      <c r="F43" s="12">
        <v>0</v>
      </c>
      <c r="G43" s="12">
        <f xml:space="preserve"> (C43 * E43 + C43 * E43 * F43)</f>
        <v>621.5</v>
      </c>
    </row>
    <row r="44" spans="1:7" ht="18.75">
      <c r="A44" s="2"/>
      <c r="B44" s="8" t="s">
        <v>58</v>
      </c>
      <c r="C44" s="11"/>
      <c r="D44" s="11"/>
      <c r="E44" s="11"/>
      <c r="F44" s="11"/>
      <c r="G44" s="11"/>
    </row>
    <row r="45" spans="1:7" ht="45">
      <c r="A45" s="3"/>
      <c r="B45" s="5" t="s">
        <v>59</v>
      </c>
      <c r="C45" s="12">
        <v>55.800000000000004</v>
      </c>
      <c r="D45" s="12" t="s">
        <v>60</v>
      </c>
      <c r="E45" s="12">
        <f>(460)*(1)</f>
        <v>460</v>
      </c>
      <c r="F45" s="12">
        <v>0</v>
      </c>
      <c r="G45" s="12">
        <f t="shared" ref="G45:G52" si="3" xml:space="preserve"> (C45 * E45 + C45 * E45 * F45)</f>
        <v>25668.000000000004</v>
      </c>
    </row>
    <row r="46" spans="1:7">
      <c r="A46" s="3"/>
      <c r="B46" s="5" t="s">
        <v>61</v>
      </c>
      <c r="C46" s="12">
        <v>8.0909517403644315</v>
      </c>
      <c r="D46" s="12" t="s">
        <v>8</v>
      </c>
      <c r="E46" s="12">
        <f>(135)*(1)</f>
        <v>135</v>
      </c>
      <c r="F46" s="12">
        <v>0</v>
      </c>
      <c r="G46" s="12">
        <f t="shared" si="3"/>
        <v>1092.2784849491982</v>
      </c>
    </row>
    <row r="47" spans="1:7" ht="30">
      <c r="A47" s="3"/>
      <c r="B47" s="5" t="s">
        <v>62</v>
      </c>
      <c r="C47" s="12">
        <v>113</v>
      </c>
      <c r="D47" s="12" t="s">
        <v>44</v>
      </c>
      <c r="E47" s="12">
        <f>(42)*(1)</f>
        <v>42</v>
      </c>
      <c r="F47" s="12">
        <v>0</v>
      </c>
      <c r="G47" s="12">
        <f t="shared" si="3"/>
        <v>4746</v>
      </c>
    </row>
    <row r="48" spans="1:7">
      <c r="A48" s="3"/>
      <c r="B48" s="5" t="s">
        <v>63</v>
      </c>
      <c r="C48" s="12">
        <v>6.2</v>
      </c>
      <c r="D48" s="12" t="s">
        <v>60</v>
      </c>
      <c r="E48" s="12">
        <f>(460)*(1)</f>
        <v>460</v>
      </c>
      <c r="F48" s="12">
        <v>0</v>
      </c>
      <c r="G48" s="12">
        <f t="shared" si="3"/>
        <v>2852</v>
      </c>
    </row>
    <row r="49" spans="1:7">
      <c r="A49" s="3"/>
      <c r="B49" s="5" t="s">
        <v>64</v>
      </c>
      <c r="C49" s="12">
        <v>4</v>
      </c>
      <c r="D49" s="12" t="s">
        <v>60</v>
      </c>
      <c r="E49" s="12">
        <f>(200)*(1)</f>
        <v>200</v>
      </c>
      <c r="F49" s="12">
        <v>0</v>
      </c>
      <c r="G49" s="12">
        <f t="shared" si="3"/>
        <v>800</v>
      </c>
    </row>
    <row r="50" spans="1:7" ht="30">
      <c r="A50" s="3"/>
      <c r="B50" s="5" t="s">
        <v>65</v>
      </c>
      <c r="C50" s="12">
        <v>8</v>
      </c>
      <c r="D50" s="12" t="s">
        <v>42</v>
      </c>
      <c r="E50" s="12">
        <f>(180)*(1)</f>
        <v>180</v>
      </c>
      <c r="F50" s="12">
        <v>0</v>
      </c>
      <c r="G50" s="12">
        <f t="shared" si="3"/>
        <v>1440</v>
      </c>
    </row>
    <row r="51" spans="1:7">
      <c r="A51" s="3"/>
      <c r="B51" s="5" t="s">
        <v>66</v>
      </c>
      <c r="C51" s="12">
        <v>4</v>
      </c>
      <c r="D51" s="12" t="s">
        <v>42</v>
      </c>
      <c r="E51" s="12">
        <f>(180)*(1)</f>
        <v>180</v>
      </c>
      <c r="F51" s="12">
        <v>0</v>
      </c>
      <c r="G51" s="12">
        <f t="shared" si="3"/>
        <v>720</v>
      </c>
    </row>
    <row r="52" spans="1:7" ht="30">
      <c r="A52" s="3"/>
      <c r="B52" s="5" t="s">
        <v>67</v>
      </c>
      <c r="C52" s="12">
        <v>62</v>
      </c>
      <c r="D52" s="12" t="s">
        <v>60</v>
      </c>
      <c r="E52" s="12">
        <f>(7.5)*(1)</f>
        <v>7.5</v>
      </c>
      <c r="F52" s="12">
        <v>0</v>
      </c>
      <c r="G52" s="12">
        <f t="shared" si="3"/>
        <v>465</v>
      </c>
    </row>
    <row r="53" spans="1:7" ht="18.75">
      <c r="A53" s="2"/>
      <c r="B53" s="8" t="s">
        <v>68</v>
      </c>
      <c r="C53" s="11"/>
      <c r="D53" s="11"/>
      <c r="E53" s="11"/>
      <c r="F53" s="11"/>
      <c r="G53" s="11"/>
    </row>
    <row r="54" spans="1:7">
      <c r="A54" s="3"/>
      <c r="B54" s="5" t="s">
        <v>69</v>
      </c>
      <c r="C54" s="12">
        <v>5</v>
      </c>
      <c r="D54" s="12" t="s">
        <v>60</v>
      </c>
      <c r="E54" s="12">
        <f>(48)*(1)</f>
        <v>48</v>
      </c>
      <c r="F54" s="12">
        <v>0</v>
      </c>
      <c r="G54" s="12">
        <f t="shared" ref="G54:G62" si="4" xml:space="preserve"> (C54 * E54 + C54 * E54 * F54)</f>
        <v>240</v>
      </c>
    </row>
    <row r="55" spans="1:7">
      <c r="A55" s="3"/>
      <c r="B55" s="5" t="s">
        <v>70</v>
      </c>
      <c r="C55" s="12">
        <v>2</v>
      </c>
      <c r="D55" s="12" t="s">
        <v>21</v>
      </c>
      <c r="E55" s="12">
        <f>(14)*(1)</f>
        <v>14</v>
      </c>
      <c r="F55" s="12">
        <v>0</v>
      </c>
      <c r="G55" s="12">
        <f t="shared" si="4"/>
        <v>28</v>
      </c>
    </row>
    <row r="56" spans="1:7" ht="30">
      <c r="A56" s="3"/>
      <c r="B56" s="5" t="s">
        <v>71</v>
      </c>
      <c r="C56" s="12">
        <v>40</v>
      </c>
      <c r="D56" s="12" t="s">
        <v>21</v>
      </c>
      <c r="E56" s="12">
        <f>(7.2)*(1)</f>
        <v>7.2</v>
      </c>
      <c r="F56" s="12">
        <v>0</v>
      </c>
      <c r="G56" s="12">
        <f t="shared" si="4"/>
        <v>288</v>
      </c>
    </row>
    <row r="57" spans="1:7">
      <c r="A57" s="3"/>
      <c r="B57" s="5" t="s">
        <v>72</v>
      </c>
      <c r="C57" s="12">
        <v>20</v>
      </c>
      <c r="D57" s="12" t="s">
        <v>21</v>
      </c>
      <c r="E57" s="12">
        <f>(9.5)*(1)</f>
        <v>9.5</v>
      </c>
      <c r="F57" s="12">
        <v>0</v>
      </c>
      <c r="G57" s="12">
        <f t="shared" si="4"/>
        <v>190</v>
      </c>
    </row>
    <row r="58" spans="1:7">
      <c r="A58" s="3"/>
      <c r="B58" s="5" t="s">
        <v>73</v>
      </c>
      <c r="C58" s="12">
        <v>3</v>
      </c>
      <c r="D58" s="12" t="s">
        <v>21</v>
      </c>
      <c r="E58" s="12">
        <f>(5)*(1)</f>
        <v>5</v>
      </c>
      <c r="F58" s="12">
        <v>0</v>
      </c>
      <c r="G58" s="12">
        <f t="shared" si="4"/>
        <v>15</v>
      </c>
    </row>
    <row r="59" spans="1:7">
      <c r="A59" s="3"/>
      <c r="B59" s="5" t="s">
        <v>74</v>
      </c>
      <c r="C59" s="12">
        <v>2</v>
      </c>
      <c r="D59" s="12" t="s">
        <v>21</v>
      </c>
      <c r="E59" s="12">
        <f>(19)*(1)</f>
        <v>19</v>
      </c>
      <c r="F59" s="12">
        <v>0</v>
      </c>
      <c r="G59" s="12">
        <f t="shared" si="4"/>
        <v>38</v>
      </c>
    </row>
    <row r="60" spans="1:7">
      <c r="A60" s="3"/>
      <c r="B60" s="5" t="s">
        <v>75</v>
      </c>
      <c r="C60" s="12">
        <v>1</v>
      </c>
      <c r="D60" s="12" t="s">
        <v>21</v>
      </c>
      <c r="E60" s="12">
        <f>(45)*(1)</f>
        <v>45</v>
      </c>
      <c r="F60" s="12">
        <v>0</v>
      </c>
      <c r="G60" s="12">
        <f t="shared" si="4"/>
        <v>45</v>
      </c>
    </row>
    <row r="61" spans="1:7">
      <c r="A61" s="3"/>
      <c r="B61" s="5" t="s">
        <v>76</v>
      </c>
      <c r="C61" s="12">
        <v>5072</v>
      </c>
      <c r="D61" s="12" t="s">
        <v>8</v>
      </c>
      <c r="E61" s="12">
        <f>(0.55)*(1)</f>
        <v>0.55000000000000004</v>
      </c>
      <c r="F61" s="12">
        <v>0</v>
      </c>
      <c r="G61" s="12">
        <f t="shared" si="4"/>
        <v>2789.6000000000004</v>
      </c>
    </row>
    <row r="62" spans="1:7" ht="30">
      <c r="A62" s="3"/>
      <c r="B62" s="5" t="s">
        <v>77</v>
      </c>
      <c r="C62" s="12">
        <v>5100</v>
      </c>
      <c r="D62" s="12" t="s">
        <v>21</v>
      </c>
      <c r="E62" s="12">
        <f>(0.9)*(1)</f>
        <v>0.9</v>
      </c>
      <c r="F62" s="12">
        <v>0</v>
      </c>
      <c r="G62" s="12">
        <f t="shared" si="4"/>
        <v>4590</v>
      </c>
    </row>
    <row r="63" spans="1:7" ht="18.75">
      <c r="A63" s="2"/>
      <c r="B63" s="8" t="s">
        <v>78</v>
      </c>
      <c r="C63" s="11"/>
      <c r="D63" s="11"/>
      <c r="E63" s="11"/>
      <c r="F63" s="11"/>
      <c r="G63" s="11"/>
    </row>
    <row r="64" spans="1:7" ht="15.75">
      <c r="A64" s="4"/>
      <c r="B64" s="9" t="s">
        <v>79</v>
      </c>
      <c r="C64" s="13"/>
      <c r="D64" s="13"/>
      <c r="E64" s="13"/>
      <c r="F64" s="13"/>
      <c r="G64" s="13"/>
    </row>
    <row r="65" spans="1:7">
      <c r="A65" s="3"/>
      <c r="B65" s="10" t="s">
        <v>80</v>
      </c>
      <c r="C65" s="12">
        <v>48</v>
      </c>
      <c r="D65" s="12" t="s">
        <v>42</v>
      </c>
      <c r="E65" s="12">
        <f t="shared" ref="E65:E78" si="5">(50)*(1)</f>
        <v>50</v>
      </c>
      <c r="F65" s="12">
        <v>0</v>
      </c>
      <c r="G65" s="12">
        <f t="shared" ref="G65:G110" si="6" xml:space="preserve"> (C65 * E65 + C65 * E65 * F65)</f>
        <v>2400</v>
      </c>
    </row>
    <row r="66" spans="1:7">
      <c r="A66" s="3"/>
      <c r="B66" s="10" t="s">
        <v>81</v>
      </c>
      <c r="C66" s="12">
        <v>48</v>
      </c>
      <c r="D66" s="12" t="s">
        <v>42</v>
      </c>
      <c r="E66" s="12">
        <f t="shared" si="5"/>
        <v>50</v>
      </c>
      <c r="F66" s="12">
        <v>0</v>
      </c>
      <c r="G66" s="12">
        <f t="shared" si="6"/>
        <v>2400</v>
      </c>
    </row>
    <row r="67" spans="1:7">
      <c r="A67" s="3"/>
      <c r="B67" s="10" t="s">
        <v>82</v>
      </c>
      <c r="C67" s="12">
        <v>96</v>
      </c>
      <c r="D67" s="12" t="s">
        <v>42</v>
      </c>
      <c r="E67" s="12">
        <f t="shared" si="5"/>
        <v>50</v>
      </c>
      <c r="F67" s="12">
        <v>0</v>
      </c>
      <c r="G67" s="12">
        <f t="shared" si="6"/>
        <v>4800</v>
      </c>
    </row>
    <row r="68" spans="1:7">
      <c r="A68" s="3"/>
      <c r="B68" s="10" t="s">
        <v>83</v>
      </c>
      <c r="C68" s="12">
        <v>48</v>
      </c>
      <c r="D68" s="12" t="s">
        <v>42</v>
      </c>
      <c r="E68" s="12">
        <f t="shared" si="5"/>
        <v>50</v>
      </c>
      <c r="F68" s="12">
        <v>0</v>
      </c>
      <c r="G68" s="12">
        <f t="shared" si="6"/>
        <v>2400</v>
      </c>
    </row>
    <row r="69" spans="1:7">
      <c r="A69" s="3"/>
      <c r="B69" s="10" t="s">
        <v>84</v>
      </c>
      <c r="C69" s="12">
        <v>24</v>
      </c>
      <c r="D69" s="12" t="s">
        <v>42</v>
      </c>
      <c r="E69" s="12">
        <f t="shared" si="5"/>
        <v>50</v>
      </c>
      <c r="F69" s="12">
        <v>0</v>
      </c>
      <c r="G69" s="12">
        <f t="shared" si="6"/>
        <v>1200</v>
      </c>
    </row>
    <row r="70" spans="1:7">
      <c r="A70" s="3"/>
      <c r="B70" s="10" t="s">
        <v>85</v>
      </c>
      <c r="C70" s="12">
        <v>120</v>
      </c>
      <c r="D70" s="12" t="s">
        <v>42</v>
      </c>
      <c r="E70" s="12">
        <f t="shared" si="5"/>
        <v>50</v>
      </c>
      <c r="F70" s="12">
        <v>0</v>
      </c>
      <c r="G70" s="12">
        <f t="shared" si="6"/>
        <v>6000</v>
      </c>
    </row>
    <row r="71" spans="1:7">
      <c r="A71" s="3"/>
      <c r="B71" s="10" t="s">
        <v>86</v>
      </c>
      <c r="C71" s="12">
        <v>24</v>
      </c>
      <c r="D71" s="12" t="s">
        <v>42</v>
      </c>
      <c r="E71" s="12">
        <f t="shared" si="5"/>
        <v>50</v>
      </c>
      <c r="F71" s="12">
        <v>0</v>
      </c>
      <c r="G71" s="12">
        <f t="shared" si="6"/>
        <v>1200</v>
      </c>
    </row>
    <row r="72" spans="1:7">
      <c r="A72" s="3"/>
      <c r="B72" s="10" t="s">
        <v>87</v>
      </c>
      <c r="C72" s="12">
        <v>48</v>
      </c>
      <c r="D72" s="12" t="s">
        <v>42</v>
      </c>
      <c r="E72" s="12">
        <f t="shared" si="5"/>
        <v>50</v>
      </c>
      <c r="F72" s="12">
        <v>0</v>
      </c>
      <c r="G72" s="12">
        <f t="shared" si="6"/>
        <v>2400</v>
      </c>
    </row>
    <row r="73" spans="1:7">
      <c r="A73" s="3"/>
      <c r="B73" s="10" t="s">
        <v>88</v>
      </c>
      <c r="C73" s="12">
        <v>120</v>
      </c>
      <c r="D73" s="12" t="s">
        <v>42</v>
      </c>
      <c r="E73" s="12">
        <f t="shared" si="5"/>
        <v>50</v>
      </c>
      <c r="F73" s="12">
        <v>0</v>
      </c>
      <c r="G73" s="12">
        <f t="shared" si="6"/>
        <v>6000</v>
      </c>
    </row>
    <row r="74" spans="1:7">
      <c r="A74" s="3"/>
      <c r="B74" s="10" t="s">
        <v>89</v>
      </c>
      <c r="C74" s="12">
        <v>48</v>
      </c>
      <c r="D74" s="12" t="s">
        <v>42</v>
      </c>
      <c r="E74" s="12">
        <f t="shared" si="5"/>
        <v>50</v>
      </c>
      <c r="F74" s="12">
        <v>0</v>
      </c>
      <c r="G74" s="12">
        <f t="shared" si="6"/>
        <v>2400</v>
      </c>
    </row>
    <row r="75" spans="1:7">
      <c r="A75" s="3"/>
      <c r="B75" s="10" t="s">
        <v>90</v>
      </c>
      <c r="C75" s="12">
        <v>48</v>
      </c>
      <c r="D75" s="12" t="s">
        <v>42</v>
      </c>
      <c r="E75" s="12">
        <f t="shared" si="5"/>
        <v>50</v>
      </c>
      <c r="F75" s="12">
        <v>0</v>
      </c>
      <c r="G75" s="12">
        <f t="shared" si="6"/>
        <v>2400</v>
      </c>
    </row>
    <row r="76" spans="1:7">
      <c r="A76" s="3"/>
      <c r="B76" s="10" t="s">
        <v>91</v>
      </c>
      <c r="C76" s="12">
        <v>48</v>
      </c>
      <c r="D76" s="12" t="s">
        <v>42</v>
      </c>
      <c r="E76" s="12">
        <f t="shared" si="5"/>
        <v>50</v>
      </c>
      <c r="F76" s="12">
        <v>0</v>
      </c>
      <c r="G76" s="12">
        <f t="shared" si="6"/>
        <v>2400</v>
      </c>
    </row>
    <row r="77" spans="1:7">
      <c r="A77" s="3"/>
      <c r="B77" s="10" t="s">
        <v>92</v>
      </c>
      <c r="C77" s="12">
        <v>48</v>
      </c>
      <c r="D77" s="12" t="s">
        <v>42</v>
      </c>
      <c r="E77" s="12">
        <f t="shared" si="5"/>
        <v>50</v>
      </c>
      <c r="F77" s="12">
        <v>0</v>
      </c>
      <c r="G77" s="12">
        <f t="shared" si="6"/>
        <v>2400</v>
      </c>
    </row>
    <row r="78" spans="1:7">
      <c r="A78" s="3"/>
      <c r="B78" s="10" t="s">
        <v>93</v>
      </c>
      <c r="C78" s="12">
        <v>48</v>
      </c>
      <c r="D78" s="12" t="s">
        <v>42</v>
      </c>
      <c r="E78" s="12">
        <f t="shared" si="5"/>
        <v>50</v>
      </c>
      <c r="F78" s="12">
        <v>0</v>
      </c>
      <c r="G78" s="12">
        <f t="shared" si="6"/>
        <v>2400</v>
      </c>
    </row>
    <row r="79" spans="1:7" ht="30">
      <c r="A79" s="3"/>
      <c r="B79" s="5" t="s">
        <v>94</v>
      </c>
      <c r="C79" s="12">
        <v>1</v>
      </c>
      <c r="D79" s="12" t="s">
        <v>19</v>
      </c>
      <c r="E79" s="12">
        <f>(1200)*(1)</f>
        <v>1200</v>
      </c>
      <c r="F79" s="12">
        <v>0</v>
      </c>
      <c r="G79" s="12">
        <f t="shared" si="6"/>
        <v>1200</v>
      </c>
    </row>
    <row r="80" spans="1:7" ht="30">
      <c r="A80" s="3"/>
      <c r="B80" s="5" t="s">
        <v>95</v>
      </c>
      <c r="C80" s="12">
        <v>118</v>
      </c>
      <c r="D80" s="12" t="s">
        <v>96</v>
      </c>
      <c r="E80" s="12">
        <f>(3.5)*(1)</f>
        <v>3.5</v>
      </c>
      <c r="F80" s="12">
        <v>0</v>
      </c>
      <c r="G80" s="12">
        <f t="shared" si="6"/>
        <v>413</v>
      </c>
    </row>
    <row r="81" spans="1:7">
      <c r="A81" s="3"/>
      <c r="B81" s="5" t="s">
        <v>97</v>
      </c>
      <c r="C81" s="12">
        <v>5</v>
      </c>
      <c r="D81" s="12" t="s">
        <v>60</v>
      </c>
      <c r="E81" s="12">
        <f>(220)*(1)</f>
        <v>220</v>
      </c>
      <c r="F81" s="12">
        <v>0</v>
      </c>
      <c r="G81" s="12">
        <f t="shared" si="6"/>
        <v>1100</v>
      </c>
    </row>
    <row r="82" spans="1:7">
      <c r="A82" s="3"/>
      <c r="B82" s="5" t="s">
        <v>98</v>
      </c>
      <c r="C82" s="12">
        <v>141.6</v>
      </c>
      <c r="D82" s="12" t="s">
        <v>44</v>
      </c>
      <c r="E82" s="12">
        <f>(9.7)*(1)</f>
        <v>9.6999999999999993</v>
      </c>
      <c r="F82" s="12">
        <v>0</v>
      </c>
      <c r="G82" s="12">
        <f t="shared" si="6"/>
        <v>1373.5199999999998</v>
      </c>
    </row>
    <row r="83" spans="1:7" ht="30">
      <c r="A83" s="3"/>
      <c r="B83" s="5" t="s">
        <v>99</v>
      </c>
      <c r="C83" s="12">
        <v>118</v>
      </c>
      <c r="D83" s="12" t="s">
        <v>96</v>
      </c>
      <c r="E83" s="12">
        <f>(1.25)*(1)</f>
        <v>1.25</v>
      </c>
      <c r="F83" s="12">
        <v>0</v>
      </c>
      <c r="G83" s="12">
        <f t="shared" si="6"/>
        <v>147.5</v>
      </c>
    </row>
    <row r="84" spans="1:7">
      <c r="A84" s="3"/>
      <c r="B84" s="5" t="s">
        <v>100</v>
      </c>
      <c r="C84" s="12">
        <v>2.3000000000000003</v>
      </c>
      <c r="D84" s="12" t="s">
        <v>60</v>
      </c>
      <c r="E84" s="12">
        <f>(650)*(1)</f>
        <v>650</v>
      </c>
      <c r="F84" s="12">
        <v>0</v>
      </c>
      <c r="G84" s="12">
        <f t="shared" si="6"/>
        <v>1495.0000000000002</v>
      </c>
    </row>
    <row r="85" spans="1:7">
      <c r="A85" s="3"/>
      <c r="B85" s="5" t="s">
        <v>101</v>
      </c>
      <c r="C85" s="12">
        <v>665</v>
      </c>
      <c r="D85" s="12" t="s">
        <v>44</v>
      </c>
      <c r="E85" s="12">
        <f>(1.65)*(1)</f>
        <v>1.65</v>
      </c>
      <c r="F85" s="12">
        <v>0</v>
      </c>
      <c r="G85" s="12">
        <f t="shared" si="6"/>
        <v>1097.25</v>
      </c>
    </row>
    <row r="86" spans="1:7">
      <c r="A86" s="3"/>
      <c r="B86" s="5" t="s">
        <v>102</v>
      </c>
      <c r="C86" s="12">
        <v>409.1</v>
      </c>
      <c r="D86" s="12" t="s">
        <v>44</v>
      </c>
      <c r="E86" s="12">
        <f>(2.2)*(1)</f>
        <v>2.2000000000000002</v>
      </c>
      <c r="F86" s="12">
        <v>0</v>
      </c>
      <c r="G86" s="12">
        <f t="shared" si="6"/>
        <v>900.0200000000001</v>
      </c>
    </row>
    <row r="87" spans="1:7">
      <c r="A87" s="3"/>
      <c r="B87" s="5" t="s">
        <v>103</v>
      </c>
      <c r="C87" s="12">
        <v>725.4</v>
      </c>
      <c r="D87" s="12" t="s">
        <v>44</v>
      </c>
      <c r="E87" s="12">
        <f>(2.2)*(1)</f>
        <v>2.2000000000000002</v>
      </c>
      <c r="F87" s="12">
        <v>0</v>
      </c>
      <c r="G87" s="12">
        <f t="shared" si="6"/>
        <v>1595.88</v>
      </c>
    </row>
    <row r="88" spans="1:7">
      <c r="A88" s="3"/>
      <c r="B88" s="5" t="s">
        <v>104</v>
      </c>
      <c r="C88" s="12">
        <v>972.00000000000011</v>
      </c>
      <c r="D88" s="12" t="s">
        <v>44</v>
      </c>
      <c r="E88" s="12">
        <f>(1.65)*(1)</f>
        <v>1.65</v>
      </c>
      <c r="F88" s="12">
        <v>0</v>
      </c>
      <c r="G88" s="12">
        <f t="shared" si="6"/>
        <v>1603.8000000000002</v>
      </c>
    </row>
    <row r="89" spans="1:7">
      <c r="A89" s="3"/>
      <c r="B89" s="5" t="s">
        <v>105</v>
      </c>
      <c r="C89" s="12">
        <v>225.3</v>
      </c>
      <c r="D89" s="12" t="s">
        <v>44</v>
      </c>
      <c r="E89" s="12">
        <f>(4.2)*(1)</f>
        <v>4.2</v>
      </c>
      <c r="F89" s="12">
        <v>0</v>
      </c>
      <c r="G89" s="12">
        <f t="shared" si="6"/>
        <v>946.2600000000001</v>
      </c>
    </row>
    <row r="90" spans="1:7">
      <c r="A90" s="3"/>
      <c r="B90" s="5" t="s">
        <v>106</v>
      </c>
      <c r="C90" s="12">
        <v>137.1</v>
      </c>
      <c r="D90" s="12" t="s">
        <v>44</v>
      </c>
      <c r="E90" s="12">
        <f>(6)*(1)</f>
        <v>6</v>
      </c>
      <c r="F90" s="12">
        <v>0</v>
      </c>
      <c r="G90" s="12">
        <f t="shared" si="6"/>
        <v>822.59999999999991</v>
      </c>
    </row>
    <row r="91" spans="1:7">
      <c r="A91" s="3"/>
      <c r="B91" s="5" t="s">
        <v>107</v>
      </c>
      <c r="C91" s="12">
        <v>111.60000000000001</v>
      </c>
      <c r="D91" s="12" t="s">
        <v>44</v>
      </c>
      <c r="E91" s="12">
        <f>(7.5)*(1)</f>
        <v>7.5</v>
      </c>
      <c r="F91" s="12">
        <v>0</v>
      </c>
      <c r="G91" s="12">
        <f t="shared" si="6"/>
        <v>837.00000000000011</v>
      </c>
    </row>
    <row r="92" spans="1:7">
      <c r="A92" s="3"/>
      <c r="B92" s="5" t="s">
        <v>108</v>
      </c>
      <c r="C92" s="12">
        <v>9.6</v>
      </c>
      <c r="D92" s="12" t="s">
        <v>44</v>
      </c>
      <c r="E92" s="12">
        <f>(10.5)*(1)</f>
        <v>10.5</v>
      </c>
      <c r="F92" s="12">
        <v>0</v>
      </c>
      <c r="G92" s="12">
        <f t="shared" si="6"/>
        <v>100.8</v>
      </c>
    </row>
    <row r="93" spans="1:7">
      <c r="A93" s="3"/>
      <c r="B93" s="5" t="s">
        <v>109</v>
      </c>
      <c r="C93" s="12">
        <v>30</v>
      </c>
      <c r="D93" s="12" t="s">
        <v>44</v>
      </c>
      <c r="E93" s="12">
        <f>(5.2)*(1)</f>
        <v>5.2</v>
      </c>
      <c r="F93" s="12">
        <v>0</v>
      </c>
      <c r="G93" s="12">
        <f t="shared" si="6"/>
        <v>156</v>
      </c>
    </row>
    <row r="94" spans="1:7">
      <c r="A94" s="3"/>
      <c r="B94" s="5" t="s">
        <v>110</v>
      </c>
      <c r="C94" s="12">
        <v>10.8</v>
      </c>
      <c r="D94" s="12" t="s">
        <v>44</v>
      </c>
      <c r="E94" s="12">
        <f>(11.9)*(1)</f>
        <v>11.9</v>
      </c>
      <c r="F94" s="12">
        <v>0</v>
      </c>
      <c r="G94" s="12">
        <f t="shared" si="6"/>
        <v>128.52000000000001</v>
      </c>
    </row>
    <row r="95" spans="1:7">
      <c r="A95" s="3"/>
      <c r="B95" s="5" t="s">
        <v>111</v>
      </c>
      <c r="C95" s="12">
        <v>36</v>
      </c>
      <c r="D95" s="12" t="s">
        <v>44</v>
      </c>
      <c r="E95" s="12">
        <f>(16.6)*(1)</f>
        <v>16.600000000000001</v>
      </c>
      <c r="F95" s="12">
        <v>0</v>
      </c>
      <c r="G95" s="12">
        <f t="shared" si="6"/>
        <v>597.6</v>
      </c>
    </row>
    <row r="96" spans="1:7">
      <c r="A96" s="3"/>
      <c r="B96" s="5" t="s">
        <v>112</v>
      </c>
      <c r="C96" s="12">
        <v>8.4</v>
      </c>
      <c r="D96" s="12" t="s">
        <v>44</v>
      </c>
      <c r="E96" s="12">
        <f>(22.5)*(1)</f>
        <v>22.5</v>
      </c>
      <c r="F96" s="12">
        <v>0</v>
      </c>
      <c r="G96" s="12">
        <f t="shared" si="6"/>
        <v>189</v>
      </c>
    </row>
    <row r="97" spans="1:7">
      <c r="A97" s="3"/>
      <c r="B97" s="5" t="s">
        <v>113</v>
      </c>
      <c r="C97" s="12">
        <v>1227.2999999999997</v>
      </c>
      <c r="D97" s="12" t="s">
        <v>44</v>
      </c>
      <c r="E97" s="12">
        <f>(3.98)*(1)</f>
        <v>3.98</v>
      </c>
      <c r="F97" s="12">
        <v>0</v>
      </c>
      <c r="G97" s="12">
        <f t="shared" si="6"/>
        <v>4884.6539999999986</v>
      </c>
    </row>
    <row r="98" spans="1:7">
      <c r="A98" s="3"/>
      <c r="B98" s="5" t="s">
        <v>114</v>
      </c>
      <c r="C98" s="12">
        <v>12</v>
      </c>
      <c r="D98" s="12" t="s">
        <v>44</v>
      </c>
      <c r="E98" s="12">
        <f>(6)*(1)</f>
        <v>6</v>
      </c>
      <c r="F98" s="12">
        <v>0</v>
      </c>
      <c r="G98" s="12">
        <f t="shared" si="6"/>
        <v>72</v>
      </c>
    </row>
    <row r="99" spans="1:7">
      <c r="A99" s="3"/>
      <c r="B99" s="5" t="s">
        <v>115</v>
      </c>
      <c r="C99" s="12">
        <v>70.2</v>
      </c>
      <c r="D99" s="12" t="s">
        <v>44</v>
      </c>
      <c r="E99" s="12">
        <f>(8)*(1)</f>
        <v>8</v>
      </c>
      <c r="F99" s="12">
        <v>0</v>
      </c>
      <c r="G99" s="12">
        <f t="shared" si="6"/>
        <v>561.6</v>
      </c>
    </row>
    <row r="100" spans="1:7">
      <c r="A100" s="3"/>
      <c r="B100" s="5" t="s">
        <v>116</v>
      </c>
      <c r="C100" s="12">
        <v>28.799999999999997</v>
      </c>
      <c r="D100" s="12" t="s">
        <v>44</v>
      </c>
      <c r="E100" s="12">
        <f>(13.95)*(1)</f>
        <v>13.95</v>
      </c>
      <c r="F100" s="12">
        <v>0</v>
      </c>
      <c r="G100" s="12">
        <f t="shared" si="6"/>
        <v>401.75999999999993</v>
      </c>
    </row>
    <row r="101" spans="1:7">
      <c r="A101" s="3"/>
      <c r="B101" s="5" t="s">
        <v>117</v>
      </c>
      <c r="C101" s="12">
        <v>84</v>
      </c>
      <c r="D101" s="12" t="s">
        <v>44</v>
      </c>
      <c r="E101" s="12">
        <f>(160)*(1)</f>
        <v>160</v>
      </c>
      <c r="F101" s="12">
        <v>0</v>
      </c>
      <c r="G101" s="12">
        <f t="shared" si="6"/>
        <v>13440</v>
      </c>
    </row>
    <row r="102" spans="1:7">
      <c r="A102" s="3"/>
      <c r="B102" s="5" t="s">
        <v>118</v>
      </c>
      <c r="C102" s="12">
        <v>14.4</v>
      </c>
      <c r="D102" s="12" t="s">
        <v>44</v>
      </c>
      <c r="E102" s="12">
        <f>(180)*(1)</f>
        <v>180</v>
      </c>
      <c r="F102" s="12">
        <v>0</v>
      </c>
      <c r="G102" s="12">
        <f t="shared" si="6"/>
        <v>2592</v>
      </c>
    </row>
    <row r="103" spans="1:7" ht="30">
      <c r="A103" s="3"/>
      <c r="B103" s="5" t="s">
        <v>119</v>
      </c>
      <c r="C103" s="12">
        <v>73</v>
      </c>
      <c r="D103" s="12" t="s">
        <v>21</v>
      </c>
      <c r="E103" s="12">
        <f>(34.5)*(1)</f>
        <v>34.5</v>
      </c>
      <c r="F103" s="12">
        <v>0</v>
      </c>
      <c r="G103" s="12">
        <f t="shared" si="6"/>
        <v>2518.5</v>
      </c>
    </row>
    <row r="104" spans="1:7">
      <c r="A104" s="3"/>
      <c r="B104" s="5" t="s">
        <v>120</v>
      </c>
      <c r="C104" s="12">
        <v>5</v>
      </c>
      <c r="D104" s="12" t="s">
        <v>21</v>
      </c>
      <c r="E104" s="12">
        <f>(50)*(1)</f>
        <v>50</v>
      </c>
      <c r="F104" s="12">
        <v>0</v>
      </c>
      <c r="G104" s="12">
        <f t="shared" si="6"/>
        <v>250</v>
      </c>
    </row>
    <row r="105" spans="1:7">
      <c r="A105" s="3"/>
      <c r="B105" s="5" t="s">
        <v>121</v>
      </c>
      <c r="C105" s="12">
        <v>17</v>
      </c>
      <c r="D105" s="12" t="s">
        <v>21</v>
      </c>
      <c r="E105" s="12">
        <f>(86.4)*(1)</f>
        <v>86.4</v>
      </c>
      <c r="F105" s="12">
        <v>0</v>
      </c>
      <c r="G105" s="12">
        <f t="shared" si="6"/>
        <v>1468.8000000000002</v>
      </c>
    </row>
    <row r="106" spans="1:7">
      <c r="A106" s="3"/>
      <c r="B106" s="5" t="s">
        <v>122</v>
      </c>
      <c r="C106" s="12">
        <v>35</v>
      </c>
      <c r="D106" s="12" t="s">
        <v>96</v>
      </c>
      <c r="E106" s="12">
        <f>(4)*(1)</f>
        <v>4</v>
      </c>
      <c r="F106" s="12">
        <v>0</v>
      </c>
      <c r="G106" s="12">
        <f t="shared" si="6"/>
        <v>140</v>
      </c>
    </row>
    <row r="107" spans="1:7">
      <c r="A107" s="3"/>
      <c r="B107" s="5" t="s">
        <v>123</v>
      </c>
      <c r="C107" s="12">
        <v>12</v>
      </c>
      <c r="D107" s="12" t="s">
        <v>21</v>
      </c>
      <c r="E107" s="12">
        <f>(27.4)*(1)</f>
        <v>27.4</v>
      </c>
      <c r="F107" s="12">
        <v>0</v>
      </c>
      <c r="G107" s="12">
        <f t="shared" si="6"/>
        <v>328.79999999999995</v>
      </c>
    </row>
    <row r="108" spans="1:7">
      <c r="A108" s="3"/>
      <c r="B108" s="5" t="s">
        <v>124</v>
      </c>
      <c r="C108" s="12">
        <v>18</v>
      </c>
      <c r="D108" s="12" t="s">
        <v>21</v>
      </c>
      <c r="E108" s="12">
        <f>(7.1)*(1)</f>
        <v>7.1</v>
      </c>
      <c r="F108" s="12">
        <v>0</v>
      </c>
      <c r="G108" s="12">
        <f t="shared" si="6"/>
        <v>127.8</v>
      </c>
    </row>
    <row r="109" spans="1:7">
      <c r="A109" s="3"/>
      <c r="B109" s="5" t="s">
        <v>125</v>
      </c>
      <c r="C109" s="12">
        <v>255.05127252311635</v>
      </c>
      <c r="D109" s="12" t="s">
        <v>8</v>
      </c>
      <c r="E109" s="12">
        <f>(48)*(1)</f>
        <v>48</v>
      </c>
      <c r="F109" s="12">
        <v>0</v>
      </c>
      <c r="G109" s="12">
        <f t="shared" si="6"/>
        <v>12242.461081109584</v>
      </c>
    </row>
    <row r="110" spans="1:7">
      <c r="A110" s="3"/>
      <c r="B110" s="5" t="s">
        <v>35</v>
      </c>
      <c r="C110" s="12">
        <v>4</v>
      </c>
      <c r="D110" s="12" t="s">
        <v>21</v>
      </c>
      <c r="E110" s="12">
        <f>(50)*(1)</f>
        <v>50</v>
      </c>
      <c r="F110" s="12">
        <v>0</v>
      </c>
      <c r="G110" s="12">
        <f t="shared" si="6"/>
        <v>200</v>
      </c>
    </row>
    <row r="111" spans="1:7" ht="18.75">
      <c r="A111" s="2"/>
      <c r="B111" s="8" t="s">
        <v>126</v>
      </c>
      <c r="C111" s="11"/>
      <c r="D111" s="11"/>
      <c r="E111" s="11"/>
      <c r="F111" s="11"/>
      <c r="G111" s="11"/>
    </row>
    <row r="112" spans="1:7" ht="45">
      <c r="A112" s="3"/>
      <c r="B112" s="5" t="s">
        <v>127</v>
      </c>
      <c r="C112" s="12">
        <v>1</v>
      </c>
      <c r="D112" s="12" t="s">
        <v>19</v>
      </c>
      <c r="E112" s="12">
        <f>(12705.34)*(1)</f>
        <v>12705.34</v>
      </c>
      <c r="F112" s="12">
        <v>0</v>
      </c>
      <c r="G112" s="12">
        <f xml:space="preserve"> (C112 * E112 + C112 * E112 * F112)</f>
        <v>12705.34</v>
      </c>
    </row>
    <row r="113" spans="1:7" ht="18.75">
      <c r="A113" s="2"/>
      <c r="B113" s="8" t="s">
        <v>128</v>
      </c>
      <c r="C113" s="11"/>
      <c r="D113" s="11"/>
      <c r="E113" s="11"/>
      <c r="F113" s="11"/>
      <c r="G113" s="11"/>
    </row>
    <row r="114" spans="1:7" ht="60">
      <c r="A114" s="3"/>
      <c r="B114" s="5" t="s">
        <v>129</v>
      </c>
      <c r="C114" s="12">
        <v>105.10375000000001</v>
      </c>
      <c r="D114" s="12" t="s">
        <v>8</v>
      </c>
      <c r="E114" s="12">
        <f>(600)*(1)</f>
        <v>600</v>
      </c>
      <c r="F114" s="12">
        <v>0</v>
      </c>
      <c r="G114" s="12">
        <f t="shared" ref="G114:G119" si="7" xml:space="preserve"> (C114 * E114 + C114 * E114 * F114)</f>
        <v>63062.25</v>
      </c>
    </row>
    <row r="115" spans="1:7" ht="45">
      <c r="A115" s="3"/>
      <c r="B115" s="5" t="s">
        <v>130</v>
      </c>
      <c r="C115" s="12">
        <v>1.7529999999999999</v>
      </c>
      <c r="D115" s="12" t="s">
        <v>8</v>
      </c>
      <c r="E115" s="12">
        <f>(850)*(1)</f>
        <v>850</v>
      </c>
      <c r="F115" s="12">
        <v>0</v>
      </c>
      <c r="G115" s="12">
        <f t="shared" si="7"/>
        <v>1490.05</v>
      </c>
    </row>
    <row r="116" spans="1:7" ht="30">
      <c r="A116" s="3"/>
      <c r="B116" s="5" t="s">
        <v>131</v>
      </c>
      <c r="C116" s="12">
        <v>1.92</v>
      </c>
      <c r="D116" s="12" t="s">
        <v>8</v>
      </c>
      <c r="E116" s="12">
        <f>(600)*(1)</f>
        <v>600</v>
      </c>
      <c r="F116" s="12">
        <v>0</v>
      </c>
      <c r="G116" s="12">
        <f t="shared" si="7"/>
        <v>1152</v>
      </c>
    </row>
    <row r="117" spans="1:7" ht="30">
      <c r="A117" s="3"/>
      <c r="B117" s="5" t="s">
        <v>132</v>
      </c>
      <c r="C117" s="12">
        <v>2.5</v>
      </c>
      <c r="D117" s="12" t="s">
        <v>8</v>
      </c>
      <c r="E117" s="12">
        <f>(400)*(1)</f>
        <v>400</v>
      </c>
      <c r="F117" s="12">
        <v>0</v>
      </c>
      <c r="G117" s="12">
        <f t="shared" si="7"/>
        <v>1000</v>
      </c>
    </row>
    <row r="118" spans="1:7">
      <c r="A118" s="3"/>
      <c r="B118" s="5" t="s">
        <v>133</v>
      </c>
      <c r="C118" s="12">
        <v>14</v>
      </c>
      <c r="D118" s="12" t="s">
        <v>21</v>
      </c>
      <c r="E118" s="12">
        <f>(45)*(1)</f>
        <v>45</v>
      </c>
      <c r="F118" s="12">
        <v>0</v>
      </c>
      <c r="G118" s="12">
        <f t="shared" si="7"/>
        <v>630</v>
      </c>
    </row>
    <row r="119" spans="1:7">
      <c r="A119" s="3"/>
      <c r="B119" s="5" t="s">
        <v>134</v>
      </c>
      <c r="C119" s="12">
        <v>5</v>
      </c>
      <c r="D119" s="12" t="s">
        <v>21</v>
      </c>
      <c r="E119" s="12">
        <f>(300)*(1)</f>
        <v>300</v>
      </c>
      <c r="F119" s="12">
        <v>0</v>
      </c>
      <c r="G119" s="12">
        <f t="shared" si="7"/>
        <v>1500</v>
      </c>
    </row>
    <row r="120" spans="1:7" ht="18.75">
      <c r="A120" s="2"/>
      <c r="B120" s="8" t="s">
        <v>135</v>
      </c>
      <c r="C120" s="11"/>
      <c r="D120" s="11"/>
      <c r="E120" s="11"/>
      <c r="F120" s="11"/>
      <c r="G120" s="11"/>
    </row>
    <row r="121" spans="1:7">
      <c r="A121" s="3"/>
      <c r="B121" s="5" t="s">
        <v>136</v>
      </c>
      <c r="C121" s="12">
        <v>474</v>
      </c>
      <c r="D121" s="12" t="s">
        <v>8</v>
      </c>
      <c r="E121" s="12">
        <f>(20)*(1)</f>
        <v>20</v>
      </c>
      <c r="F121" s="12">
        <v>0.1</v>
      </c>
      <c r="G121" s="12">
        <f t="shared" ref="G121:G138" si="8" xml:space="preserve"> (C121 * E121 + C121 * E121 * F121)</f>
        <v>10428</v>
      </c>
    </row>
    <row r="122" spans="1:7">
      <c r="A122" s="3"/>
      <c r="B122" s="5" t="s">
        <v>137</v>
      </c>
      <c r="C122" s="12">
        <v>247</v>
      </c>
      <c r="D122" s="12" t="s">
        <v>8</v>
      </c>
      <c r="E122" s="12">
        <f>(25)*(1)</f>
        <v>25</v>
      </c>
      <c r="F122" s="12">
        <v>0.1</v>
      </c>
      <c r="G122" s="12">
        <f t="shared" si="8"/>
        <v>6792.5</v>
      </c>
    </row>
    <row r="123" spans="1:7">
      <c r="A123" s="3"/>
      <c r="B123" s="5" t="s">
        <v>138</v>
      </c>
      <c r="C123" s="12">
        <v>516</v>
      </c>
      <c r="D123" s="12" t="s">
        <v>44</v>
      </c>
      <c r="E123" s="12">
        <f>(10)*(1)</f>
        <v>10</v>
      </c>
      <c r="F123" s="12">
        <v>0.1</v>
      </c>
      <c r="G123" s="12">
        <f t="shared" si="8"/>
        <v>5676</v>
      </c>
    </row>
    <row r="124" spans="1:7">
      <c r="A124" s="3"/>
      <c r="B124" s="5" t="s">
        <v>139</v>
      </c>
      <c r="C124" s="12">
        <v>35</v>
      </c>
      <c r="D124" s="12" t="s">
        <v>44</v>
      </c>
      <c r="E124" s="12">
        <f>(15)*(1)</f>
        <v>15</v>
      </c>
      <c r="F124" s="12">
        <v>0.1</v>
      </c>
      <c r="G124" s="12">
        <f t="shared" si="8"/>
        <v>577.5</v>
      </c>
    </row>
    <row r="125" spans="1:7">
      <c r="A125" s="3"/>
      <c r="B125" s="5" t="s">
        <v>140</v>
      </c>
      <c r="C125" s="12">
        <v>4</v>
      </c>
      <c r="D125" s="12" t="s">
        <v>21</v>
      </c>
      <c r="E125" s="12">
        <f>(80)*(1)</f>
        <v>80</v>
      </c>
      <c r="F125" s="12">
        <v>0.1</v>
      </c>
      <c r="G125" s="12">
        <f t="shared" si="8"/>
        <v>352</v>
      </c>
    </row>
    <row r="126" spans="1:7">
      <c r="A126" s="3"/>
      <c r="B126" s="5" t="s">
        <v>141</v>
      </c>
      <c r="C126" s="12">
        <v>1</v>
      </c>
      <c r="D126" s="12" t="s">
        <v>19</v>
      </c>
      <c r="E126" s="12">
        <f>(1500)*(1)</f>
        <v>1500</v>
      </c>
      <c r="F126" s="12">
        <v>0.1</v>
      </c>
      <c r="G126" s="12">
        <f t="shared" si="8"/>
        <v>1650</v>
      </c>
    </row>
    <row r="127" spans="1:7">
      <c r="A127" s="3"/>
      <c r="B127" s="5" t="s">
        <v>142</v>
      </c>
      <c r="C127" s="12">
        <v>411</v>
      </c>
      <c r="D127" s="12" t="s">
        <v>8</v>
      </c>
      <c r="E127" s="12">
        <f>(15.5)*(1)</f>
        <v>15.5</v>
      </c>
      <c r="F127" s="12">
        <v>0.1</v>
      </c>
      <c r="G127" s="12">
        <f t="shared" si="8"/>
        <v>7007.55</v>
      </c>
    </row>
    <row r="128" spans="1:7" ht="30">
      <c r="A128" s="3"/>
      <c r="B128" s="5" t="s">
        <v>143</v>
      </c>
      <c r="C128" s="12">
        <v>63</v>
      </c>
      <c r="D128" s="12" t="s">
        <v>8</v>
      </c>
      <c r="E128" s="12">
        <f>(15.5)*(1)</f>
        <v>15.5</v>
      </c>
      <c r="F128" s="12">
        <v>0.1</v>
      </c>
      <c r="G128" s="12">
        <f t="shared" si="8"/>
        <v>1074.1500000000001</v>
      </c>
    </row>
    <row r="129" spans="1:7">
      <c r="A129" s="3"/>
      <c r="B129" s="5" t="s">
        <v>144</v>
      </c>
      <c r="C129" s="12">
        <v>120</v>
      </c>
      <c r="D129" s="12" t="s">
        <v>21</v>
      </c>
      <c r="E129" s="12">
        <f>(2.45)*(1)</f>
        <v>2.4500000000000002</v>
      </c>
      <c r="F129" s="12">
        <v>0.1</v>
      </c>
      <c r="G129" s="12">
        <f t="shared" si="8"/>
        <v>323.39999999999998</v>
      </c>
    </row>
    <row r="130" spans="1:7" ht="30">
      <c r="A130" s="3"/>
      <c r="B130" s="5" t="s">
        <v>145</v>
      </c>
      <c r="C130" s="12">
        <v>247</v>
      </c>
      <c r="D130" s="12" t="s">
        <v>8</v>
      </c>
      <c r="E130" s="12">
        <f>(37.36)*(1)</f>
        <v>37.36</v>
      </c>
      <c r="F130" s="12">
        <v>0.1</v>
      </c>
      <c r="G130" s="12">
        <f t="shared" si="8"/>
        <v>10150.712</v>
      </c>
    </row>
    <row r="131" spans="1:7" ht="30">
      <c r="A131" s="3"/>
      <c r="B131" s="5" t="s">
        <v>146</v>
      </c>
      <c r="C131" s="12">
        <v>4</v>
      </c>
      <c r="D131" s="12" t="s">
        <v>21</v>
      </c>
      <c r="E131" s="12">
        <f>(7.75)*(1)</f>
        <v>7.75</v>
      </c>
      <c r="F131" s="12">
        <v>0.1</v>
      </c>
      <c r="G131" s="12">
        <f t="shared" si="8"/>
        <v>34.1</v>
      </c>
    </row>
    <row r="132" spans="1:7">
      <c r="A132" s="3"/>
      <c r="B132" s="5" t="s">
        <v>147</v>
      </c>
      <c r="C132" s="12">
        <v>245</v>
      </c>
      <c r="D132" s="12" t="s">
        <v>44</v>
      </c>
      <c r="E132" s="12">
        <f>(6.53)*(1)</f>
        <v>6.53</v>
      </c>
      <c r="F132" s="12">
        <v>0.1</v>
      </c>
      <c r="G132" s="12">
        <f t="shared" si="8"/>
        <v>1759.835</v>
      </c>
    </row>
    <row r="133" spans="1:7">
      <c r="A133" s="3"/>
      <c r="B133" s="5" t="s">
        <v>148</v>
      </c>
      <c r="C133" s="12">
        <v>271</v>
      </c>
      <c r="D133" s="12" t="s">
        <v>44</v>
      </c>
      <c r="E133" s="12">
        <f>(10.4)*(1)</f>
        <v>10.4</v>
      </c>
      <c r="F133" s="12">
        <v>0.1</v>
      </c>
      <c r="G133" s="12">
        <f t="shared" si="8"/>
        <v>3100.2400000000002</v>
      </c>
    </row>
    <row r="134" spans="1:7">
      <c r="A134" s="3"/>
      <c r="B134" s="5" t="s">
        <v>149</v>
      </c>
      <c r="C134" s="12">
        <v>35</v>
      </c>
      <c r="D134" s="12" t="s">
        <v>44</v>
      </c>
      <c r="E134" s="12">
        <f>(17.1)*(1)</f>
        <v>17.100000000000001</v>
      </c>
      <c r="F134" s="12">
        <v>0.1</v>
      </c>
      <c r="G134" s="12">
        <f t="shared" si="8"/>
        <v>658.35</v>
      </c>
    </row>
    <row r="135" spans="1:7">
      <c r="A135" s="3"/>
      <c r="B135" s="5" t="s">
        <v>150</v>
      </c>
      <c r="C135" s="12">
        <v>4</v>
      </c>
      <c r="D135" s="12" t="s">
        <v>21</v>
      </c>
      <c r="E135" s="12">
        <f>(65)*(1)</f>
        <v>65</v>
      </c>
      <c r="F135" s="12">
        <v>0.1</v>
      </c>
      <c r="G135" s="12">
        <f t="shared" si="8"/>
        <v>286</v>
      </c>
    </row>
    <row r="136" spans="1:7" ht="30">
      <c r="A136" s="3"/>
      <c r="B136" s="5" t="s">
        <v>151</v>
      </c>
      <c r="C136" s="12">
        <f>(474/15/1.2)</f>
        <v>26.333333333333336</v>
      </c>
      <c r="D136" s="12" t="s">
        <v>21</v>
      </c>
      <c r="E136" s="12">
        <f>(143.5)*(1)</f>
        <v>143.5</v>
      </c>
      <c r="F136" s="12">
        <v>0.1</v>
      </c>
      <c r="G136" s="12">
        <f t="shared" si="8"/>
        <v>4156.7166666666672</v>
      </c>
    </row>
    <row r="137" spans="1:7">
      <c r="A137" s="3"/>
      <c r="B137" s="5" t="s">
        <v>152</v>
      </c>
      <c r="C137" s="12">
        <v>1</v>
      </c>
      <c r="D137" s="12" t="s">
        <v>21</v>
      </c>
      <c r="E137" s="12">
        <f>(250)*(1)</f>
        <v>250</v>
      </c>
      <c r="F137" s="12">
        <v>0.1</v>
      </c>
      <c r="G137" s="12">
        <f t="shared" si="8"/>
        <v>275</v>
      </c>
    </row>
    <row r="138" spans="1:7">
      <c r="A138" s="3"/>
      <c r="B138" s="5" t="s">
        <v>153</v>
      </c>
      <c r="C138" s="12">
        <v>2</v>
      </c>
      <c r="D138" s="12" t="s">
        <v>21</v>
      </c>
      <c r="E138" s="12">
        <f>(400)*(1)</f>
        <v>400</v>
      </c>
      <c r="F138" s="12">
        <v>0.1</v>
      </c>
      <c r="G138" s="12">
        <f t="shared" si="8"/>
        <v>880</v>
      </c>
    </row>
    <row r="139" spans="1:7" ht="18.75">
      <c r="A139" s="2"/>
      <c r="B139" s="8" t="s">
        <v>154</v>
      </c>
      <c r="C139" s="11"/>
      <c r="D139" s="11"/>
      <c r="E139" s="11"/>
      <c r="F139" s="11"/>
      <c r="G139" s="11"/>
    </row>
    <row r="140" spans="1:7">
      <c r="A140" s="3"/>
      <c r="B140" s="5" t="s">
        <v>155</v>
      </c>
      <c r="C140" s="12">
        <v>9</v>
      </c>
      <c r="D140" s="12" t="s">
        <v>60</v>
      </c>
      <c r="E140" s="12">
        <f>(48)*(1)</f>
        <v>48</v>
      </c>
      <c r="F140" s="12">
        <v>0</v>
      </c>
      <c r="G140" s="12">
        <f t="shared" ref="G140:G152" si="9" xml:space="preserve"> (C140 * E140 + C140 * E140 * F140)</f>
        <v>432</v>
      </c>
    </row>
    <row r="141" spans="1:7" ht="30">
      <c r="A141" s="3"/>
      <c r="B141" s="5" t="s">
        <v>71</v>
      </c>
      <c r="C141" s="12">
        <v>72</v>
      </c>
      <c r="D141" s="12" t="s">
        <v>21</v>
      </c>
      <c r="E141" s="12">
        <f>(7.2)*(1)</f>
        <v>7.2</v>
      </c>
      <c r="F141" s="12">
        <v>0</v>
      </c>
      <c r="G141" s="12">
        <f t="shared" si="9"/>
        <v>518.4</v>
      </c>
    </row>
    <row r="142" spans="1:7">
      <c r="A142" s="3"/>
      <c r="B142" s="5" t="s">
        <v>72</v>
      </c>
      <c r="C142" s="12">
        <v>36</v>
      </c>
      <c r="D142" s="12" t="s">
        <v>21</v>
      </c>
      <c r="E142" s="12">
        <f>(9.5)*(1)</f>
        <v>9.5</v>
      </c>
      <c r="F142" s="12">
        <v>0</v>
      </c>
      <c r="G142" s="12">
        <f t="shared" si="9"/>
        <v>342</v>
      </c>
    </row>
    <row r="143" spans="1:7">
      <c r="A143" s="3"/>
      <c r="B143" s="5" t="s">
        <v>156</v>
      </c>
      <c r="C143" s="12">
        <v>3</v>
      </c>
      <c r="D143" s="12" t="s">
        <v>21</v>
      </c>
      <c r="E143" s="12">
        <f>(14)*(1)</f>
        <v>14</v>
      </c>
      <c r="F143" s="12">
        <v>0</v>
      </c>
      <c r="G143" s="12">
        <f t="shared" si="9"/>
        <v>42</v>
      </c>
    </row>
    <row r="144" spans="1:7">
      <c r="A144" s="3"/>
      <c r="B144" s="5" t="s">
        <v>157</v>
      </c>
      <c r="C144" s="12">
        <v>1</v>
      </c>
      <c r="D144" s="12" t="s">
        <v>21</v>
      </c>
      <c r="E144" s="12">
        <f>(25.45)*(1)</f>
        <v>25.45</v>
      </c>
      <c r="F144" s="12">
        <v>0</v>
      </c>
      <c r="G144" s="12">
        <f t="shared" si="9"/>
        <v>25.45</v>
      </c>
    </row>
    <row r="145" spans="1:7" ht="30">
      <c r="A145" s="3"/>
      <c r="B145" s="5" t="s">
        <v>158</v>
      </c>
      <c r="C145" s="12">
        <v>1</v>
      </c>
      <c r="D145" s="12" t="s">
        <v>21</v>
      </c>
      <c r="E145" s="12">
        <f>(30)*(1)</f>
        <v>30</v>
      </c>
      <c r="F145" s="12">
        <v>0</v>
      </c>
      <c r="G145" s="12">
        <f t="shared" si="9"/>
        <v>30</v>
      </c>
    </row>
    <row r="146" spans="1:7">
      <c r="A146" s="3"/>
      <c r="B146" s="5" t="s">
        <v>76</v>
      </c>
      <c r="C146" s="12">
        <v>8495</v>
      </c>
      <c r="D146" s="12" t="s">
        <v>8</v>
      </c>
      <c r="E146" s="12">
        <f>(0.55)*(1)</f>
        <v>0.55000000000000004</v>
      </c>
      <c r="F146" s="12">
        <v>0</v>
      </c>
      <c r="G146" s="12">
        <f t="shared" si="9"/>
        <v>4672.25</v>
      </c>
    </row>
    <row r="147" spans="1:7">
      <c r="A147" s="3"/>
      <c r="B147" s="5" t="s">
        <v>159</v>
      </c>
      <c r="C147" s="12">
        <v>1</v>
      </c>
      <c r="D147" s="12" t="s">
        <v>21</v>
      </c>
      <c r="E147" s="12">
        <f>(34.8)*(1)</f>
        <v>34.799999999999997</v>
      </c>
      <c r="F147" s="12">
        <v>0</v>
      </c>
      <c r="G147" s="12">
        <f t="shared" si="9"/>
        <v>34.799999999999997</v>
      </c>
    </row>
    <row r="148" spans="1:7">
      <c r="A148" s="3"/>
      <c r="B148" s="5" t="s">
        <v>160</v>
      </c>
      <c r="C148" s="12">
        <v>3</v>
      </c>
      <c r="D148" s="12" t="s">
        <v>21</v>
      </c>
      <c r="E148" s="12">
        <f>(73.03)*(1)</f>
        <v>73.03</v>
      </c>
      <c r="F148" s="12">
        <v>0</v>
      </c>
      <c r="G148" s="12">
        <f t="shared" si="9"/>
        <v>219.09</v>
      </c>
    </row>
    <row r="149" spans="1:7">
      <c r="A149" s="3"/>
      <c r="B149" s="5" t="s">
        <v>161</v>
      </c>
      <c r="C149" s="12">
        <v>3</v>
      </c>
      <c r="D149" s="12" t="s">
        <v>21</v>
      </c>
      <c r="E149" s="12">
        <f>(122.01)*(1)</f>
        <v>122.01</v>
      </c>
      <c r="F149" s="12">
        <v>0</v>
      </c>
      <c r="G149" s="12">
        <f t="shared" si="9"/>
        <v>366.03000000000003</v>
      </c>
    </row>
    <row r="150" spans="1:7">
      <c r="A150" s="3"/>
      <c r="B150" s="5" t="s">
        <v>75</v>
      </c>
      <c r="C150" s="12">
        <v>1</v>
      </c>
      <c r="D150" s="12" t="s">
        <v>21</v>
      </c>
      <c r="E150" s="12">
        <f>(50)*(1)</f>
        <v>50</v>
      </c>
      <c r="F150" s="12">
        <v>0</v>
      </c>
      <c r="G150" s="12">
        <f t="shared" si="9"/>
        <v>50</v>
      </c>
    </row>
    <row r="151" spans="1:7" ht="30">
      <c r="A151" s="3"/>
      <c r="B151" s="5" t="s">
        <v>77</v>
      </c>
      <c r="C151" s="12">
        <v>8500</v>
      </c>
      <c r="D151" s="12" t="s">
        <v>21</v>
      </c>
      <c r="E151" s="12">
        <f>(0.9)*(1)</f>
        <v>0.9</v>
      </c>
      <c r="F151" s="12">
        <v>0</v>
      </c>
      <c r="G151" s="12">
        <f t="shared" si="9"/>
        <v>7650</v>
      </c>
    </row>
    <row r="152" spans="1:7" ht="30">
      <c r="A152" s="3"/>
      <c r="B152" s="5" t="s">
        <v>162</v>
      </c>
      <c r="C152" s="12">
        <v>1</v>
      </c>
      <c r="D152" s="12" t="s">
        <v>21</v>
      </c>
      <c r="E152" s="12">
        <f>(250)*(1)</f>
        <v>250</v>
      </c>
      <c r="F152" s="12">
        <v>0</v>
      </c>
      <c r="G152" s="12">
        <f t="shared" si="9"/>
        <v>250</v>
      </c>
    </row>
    <row r="153" spans="1:7" ht="18.75">
      <c r="A153" s="2"/>
      <c r="B153" s="8" t="s">
        <v>163</v>
      </c>
      <c r="C153" s="11"/>
      <c r="D153" s="11"/>
      <c r="E153" s="11"/>
      <c r="F153" s="11"/>
      <c r="G153" s="11"/>
    </row>
    <row r="154" spans="1:7" ht="45">
      <c r="A154" s="3"/>
      <c r="B154" s="5" t="s">
        <v>164</v>
      </c>
      <c r="C154" s="12">
        <v>44</v>
      </c>
      <c r="D154" s="12" t="s">
        <v>165</v>
      </c>
      <c r="E154" s="12">
        <f>(143)*(1)</f>
        <v>143</v>
      </c>
      <c r="F154" s="12">
        <v>0</v>
      </c>
      <c r="G154" s="12">
        <f t="shared" ref="G154:G164" si="10" xml:space="preserve"> (C154 * E154 + C154 * E154 * F154)</f>
        <v>6292</v>
      </c>
    </row>
    <row r="155" spans="1:7" ht="30">
      <c r="A155" s="3"/>
      <c r="B155" s="5" t="s">
        <v>166</v>
      </c>
      <c r="C155" s="12">
        <v>108</v>
      </c>
      <c r="D155" s="12" t="s">
        <v>8</v>
      </c>
      <c r="E155" s="12">
        <f>(300)*(1)</f>
        <v>300</v>
      </c>
      <c r="F155" s="12">
        <v>0</v>
      </c>
      <c r="G155" s="12">
        <f t="shared" si="10"/>
        <v>32400</v>
      </c>
    </row>
    <row r="156" spans="1:7">
      <c r="A156" s="3"/>
      <c r="B156" s="5" t="s">
        <v>69</v>
      </c>
      <c r="C156" s="12">
        <v>10</v>
      </c>
      <c r="D156" s="12" t="s">
        <v>60</v>
      </c>
      <c r="E156" s="12">
        <f>(48)*(1)</f>
        <v>48</v>
      </c>
      <c r="F156" s="12">
        <v>0</v>
      </c>
      <c r="G156" s="12">
        <f t="shared" si="10"/>
        <v>480</v>
      </c>
    </row>
    <row r="157" spans="1:7">
      <c r="A157" s="3"/>
      <c r="B157" s="5" t="s">
        <v>70</v>
      </c>
      <c r="C157" s="12">
        <v>2</v>
      </c>
      <c r="D157" s="12" t="s">
        <v>21</v>
      </c>
      <c r="E157" s="12">
        <f>(14)*(1)</f>
        <v>14</v>
      </c>
      <c r="F157" s="12">
        <v>0</v>
      </c>
      <c r="G157" s="12">
        <f t="shared" si="10"/>
        <v>28</v>
      </c>
    </row>
    <row r="158" spans="1:7">
      <c r="A158" s="3"/>
      <c r="B158" s="5" t="s">
        <v>167</v>
      </c>
      <c r="C158" s="12">
        <v>80</v>
      </c>
      <c r="D158" s="12" t="s">
        <v>21</v>
      </c>
      <c r="E158" s="12">
        <f>(9)*(1)</f>
        <v>9</v>
      </c>
      <c r="F158" s="12">
        <v>0</v>
      </c>
      <c r="G158" s="12">
        <f t="shared" si="10"/>
        <v>720</v>
      </c>
    </row>
    <row r="159" spans="1:7">
      <c r="A159" s="3"/>
      <c r="B159" s="5" t="s">
        <v>72</v>
      </c>
      <c r="C159" s="12">
        <v>40</v>
      </c>
      <c r="D159" s="12" t="s">
        <v>21</v>
      </c>
      <c r="E159" s="12">
        <f>(9.5)*(1)</f>
        <v>9.5</v>
      </c>
      <c r="F159" s="12">
        <v>0</v>
      </c>
      <c r="G159" s="12">
        <f t="shared" si="10"/>
        <v>380</v>
      </c>
    </row>
    <row r="160" spans="1:7">
      <c r="A160" s="3"/>
      <c r="B160" s="5" t="s">
        <v>168</v>
      </c>
      <c r="C160" s="12">
        <v>710</v>
      </c>
      <c r="D160" s="12" t="s">
        <v>44</v>
      </c>
      <c r="E160" s="12">
        <f>(2.85)*(1)</f>
        <v>2.85</v>
      </c>
      <c r="F160" s="12">
        <v>0</v>
      </c>
      <c r="G160" s="12">
        <f t="shared" si="10"/>
        <v>2023.5</v>
      </c>
    </row>
    <row r="161" spans="1:7" ht="30">
      <c r="A161" s="3"/>
      <c r="B161" s="5" t="s">
        <v>169</v>
      </c>
      <c r="C161" s="12">
        <v>4.5</v>
      </c>
      <c r="D161" s="12" t="s">
        <v>60</v>
      </c>
      <c r="E161" s="12">
        <f>(220)*(1)</f>
        <v>220</v>
      </c>
      <c r="F161" s="12">
        <v>0</v>
      </c>
      <c r="G161" s="12">
        <f t="shared" si="10"/>
        <v>990</v>
      </c>
    </row>
    <row r="162" spans="1:7">
      <c r="A162" s="3"/>
      <c r="B162" s="5" t="s">
        <v>170</v>
      </c>
      <c r="C162" s="12">
        <v>8</v>
      </c>
      <c r="D162" s="12" t="s">
        <v>42</v>
      </c>
      <c r="E162" s="12">
        <f>(45)*(1)</f>
        <v>45</v>
      </c>
      <c r="F162" s="12">
        <v>0</v>
      </c>
      <c r="G162" s="12">
        <f t="shared" si="10"/>
        <v>360</v>
      </c>
    </row>
    <row r="163" spans="1:7">
      <c r="A163" s="3"/>
      <c r="B163" s="5" t="s">
        <v>171</v>
      </c>
      <c r="C163" s="12">
        <v>24</v>
      </c>
      <c r="D163" s="12" t="s">
        <v>42</v>
      </c>
      <c r="E163" s="12">
        <f>(45)*(1)</f>
        <v>45</v>
      </c>
      <c r="F163" s="12">
        <v>0</v>
      </c>
      <c r="G163" s="12">
        <f t="shared" si="10"/>
        <v>1080</v>
      </c>
    </row>
    <row r="164" spans="1:7">
      <c r="A164" s="3"/>
      <c r="B164" s="5" t="s">
        <v>172</v>
      </c>
      <c r="C164" s="12">
        <v>1</v>
      </c>
      <c r="D164" s="12" t="s">
        <v>19</v>
      </c>
      <c r="E164" s="12">
        <f>(3300)*(1)</f>
        <v>3300</v>
      </c>
      <c r="F164" s="12">
        <v>0</v>
      </c>
      <c r="G164" s="12">
        <f t="shared" si="10"/>
        <v>3300</v>
      </c>
    </row>
    <row r="165" spans="1:7" ht="18.75">
      <c r="A165" s="2"/>
      <c r="B165" s="8" t="s">
        <v>173</v>
      </c>
      <c r="C165" s="11"/>
      <c r="D165" s="11"/>
      <c r="E165" s="11"/>
      <c r="F165" s="11"/>
      <c r="G165" s="11"/>
    </row>
    <row r="166" spans="1:7" ht="15.75">
      <c r="A166" s="4"/>
      <c r="B166" s="9" t="s">
        <v>174</v>
      </c>
      <c r="C166" s="13"/>
      <c r="D166" s="13"/>
      <c r="E166" s="13"/>
      <c r="F166" s="13"/>
      <c r="G166" s="13"/>
    </row>
    <row r="167" spans="1:7">
      <c r="A167" s="3"/>
      <c r="B167" s="10" t="s">
        <v>175</v>
      </c>
      <c r="C167" s="12">
        <v>48</v>
      </c>
      <c r="D167" s="12" t="s">
        <v>42</v>
      </c>
      <c r="E167" s="12">
        <f t="shared" ref="E167:E176" si="11">(50)*(1)</f>
        <v>50</v>
      </c>
      <c r="F167" s="12">
        <v>0</v>
      </c>
      <c r="G167" s="12">
        <f t="shared" ref="G167:G190" si="12" xml:space="preserve"> (C167 * E167 + C167 * E167 * F167)</f>
        <v>2400</v>
      </c>
    </row>
    <row r="168" spans="1:7">
      <c r="A168" s="3"/>
      <c r="B168" s="10" t="s">
        <v>176</v>
      </c>
      <c r="C168" s="12">
        <v>32</v>
      </c>
      <c r="D168" s="12" t="s">
        <v>42</v>
      </c>
      <c r="E168" s="12">
        <f t="shared" si="11"/>
        <v>50</v>
      </c>
      <c r="F168" s="12">
        <v>0</v>
      </c>
      <c r="G168" s="12">
        <f t="shared" si="12"/>
        <v>1600</v>
      </c>
    </row>
    <row r="169" spans="1:7">
      <c r="A169" s="3"/>
      <c r="B169" s="10" t="s">
        <v>177</v>
      </c>
      <c r="C169" s="12">
        <v>80</v>
      </c>
      <c r="D169" s="12" t="s">
        <v>42</v>
      </c>
      <c r="E169" s="12">
        <f t="shared" si="11"/>
        <v>50</v>
      </c>
      <c r="F169" s="12">
        <v>0</v>
      </c>
      <c r="G169" s="12">
        <f t="shared" si="12"/>
        <v>4000</v>
      </c>
    </row>
    <row r="170" spans="1:7">
      <c r="A170" s="3"/>
      <c r="B170" s="10" t="s">
        <v>178</v>
      </c>
      <c r="C170" s="12">
        <v>80</v>
      </c>
      <c r="D170" s="12" t="s">
        <v>42</v>
      </c>
      <c r="E170" s="12">
        <f t="shared" si="11"/>
        <v>50</v>
      </c>
      <c r="F170" s="12">
        <v>0</v>
      </c>
      <c r="G170" s="12">
        <f t="shared" si="12"/>
        <v>4000</v>
      </c>
    </row>
    <row r="171" spans="1:7">
      <c r="A171" s="3"/>
      <c r="B171" s="10" t="s">
        <v>179</v>
      </c>
      <c r="C171" s="12">
        <v>80</v>
      </c>
      <c r="D171" s="12" t="s">
        <v>42</v>
      </c>
      <c r="E171" s="12">
        <f t="shared" si="11"/>
        <v>50</v>
      </c>
      <c r="F171" s="12">
        <v>0</v>
      </c>
      <c r="G171" s="12">
        <f t="shared" si="12"/>
        <v>4000</v>
      </c>
    </row>
    <row r="172" spans="1:7">
      <c r="A172" s="3"/>
      <c r="B172" s="10" t="s">
        <v>180</v>
      </c>
      <c r="C172" s="12">
        <v>16</v>
      </c>
      <c r="D172" s="12" t="s">
        <v>42</v>
      </c>
      <c r="E172" s="12">
        <f t="shared" si="11"/>
        <v>50</v>
      </c>
      <c r="F172" s="12">
        <v>0</v>
      </c>
      <c r="G172" s="12">
        <f t="shared" si="12"/>
        <v>800</v>
      </c>
    </row>
    <row r="173" spans="1:7">
      <c r="A173" s="3"/>
      <c r="B173" s="10" t="s">
        <v>181</v>
      </c>
      <c r="C173" s="12">
        <v>16</v>
      </c>
      <c r="D173" s="12" t="s">
        <v>42</v>
      </c>
      <c r="E173" s="12">
        <f t="shared" si="11"/>
        <v>50</v>
      </c>
      <c r="F173" s="12">
        <v>0</v>
      </c>
      <c r="G173" s="12">
        <f t="shared" si="12"/>
        <v>800</v>
      </c>
    </row>
    <row r="174" spans="1:7">
      <c r="A174" s="3"/>
      <c r="B174" s="10" t="s">
        <v>182</v>
      </c>
      <c r="C174" s="12">
        <v>16</v>
      </c>
      <c r="D174" s="12" t="s">
        <v>42</v>
      </c>
      <c r="E174" s="12">
        <f t="shared" si="11"/>
        <v>50</v>
      </c>
      <c r="F174" s="12">
        <v>0</v>
      </c>
      <c r="G174" s="12">
        <f t="shared" si="12"/>
        <v>800</v>
      </c>
    </row>
    <row r="175" spans="1:7">
      <c r="A175" s="3"/>
      <c r="B175" s="10" t="s">
        <v>183</v>
      </c>
      <c r="C175" s="12">
        <v>8</v>
      </c>
      <c r="D175" s="12" t="s">
        <v>42</v>
      </c>
      <c r="E175" s="12">
        <f t="shared" si="11"/>
        <v>50</v>
      </c>
      <c r="F175" s="12">
        <v>0</v>
      </c>
      <c r="G175" s="12">
        <f t="shared" si="12"/>
        <v>400</v>
      </c>
    </row>
    <row r="176" spans="1:7">
      <c r="A176" s="3"/>
      <c r="B176" s="10" t="s">
        <v>184</v>
      </c>
      <c r="C176" s="12">
        <v>40</v>
      </c>
      <c r="D176" s="12" t="s">
        <v>42</v>
      </c>
      <c r="E176" s="12">
        <f t="shared" si="11"/>
        <v>50</v>
      </c>
      <c r="F176" s="12">
        <v>0</v>
      </c>
      <c r="G176" s="12">
        <f t="shared" si="12"/>
        <v>2000</v>
      </c>
    </row>
    <row r="177" spans="1:7">
      <c r="A177" s="3"/>
      <c r="B177" s="5" t="s">
        <v>185</v>
      </c>
      <c r="C177" s="12">
        <v>1</v>
      </c>
      <c r="D177" s="12" t="s">
        <v>19</v>
      </c>
      <c r="E177" s="12">
        <f>(2000)*(1)</f>
        <v>2000</v>
      </c>
      <c r="F177" s="12">
        <v>0</v>
      </c>
      <c r="G177" s="12">
        <f t="shared" si="12"/>
        <v>2000</v>
      </c>
    </row>
    <row r="178" spans="1:7">
      <c r="A178" s="3"/>
      <c r="B178" s="5" t="s">
        <v>186</v>
      </c>
      <c r="C178" s="12">
        <v>885</v>
      </c>
      <c r="D178" s="12" t="s">
        <v>44</v>
      </c>
      <c r="E178" s="12">
        <f>(10.15)*(1)</f>
        <v>10.15</v>
      </c>
      <c r="F178" s="12">
        <v>0</v>
      </c>
      <c r="G178" s="12">
        <f t="shared" si="12"/>
        <v>8982.75</v>
      </c>
    </row>
    <row r="179" spans="1:7" ht="60">
      <c r="A179" s="3"/>
      <c r="B179" s="5" t="s">
        <v>187</v>
      </c>
      <c r="C179" s="12">
        <v>240</v>
      </c>
      <c r="D179" s="12" t="s">
        <v>8</v>
      </c>
      <c r="E179" s="12">
        <f>(34.3)*(1)</f>
        <v>34.299999999999997</v>
      </c>
      <c r="F179" s="12">
        <v>0</v>
      </c>
      <c r="G179" s="12">
        <f t="shared" si="12"/>
        <v>8232</v>
      </c>
    </row>
    <row r="180" spans="1:7">
      <c r="A180" s="3"/>
      <c r="B180" s="5" t="s">
        <v>188</v>
      </c>
      <c r="C180" s="12">
        <v>320</v>
      </c>
      <c r="D180" s="12" t="s">
        <v>44</v>
      </c>
      <c r="E180" s="12">
        <f>(8.73)*(1)</f>
        <v>8.73</v>
      </c>
      <c r="F180" s="12">
        <v>0</v>
      </c>
      <c r="G180" s="12">
        <f t="shared" si="12"/>
        <v>2793.6000000000004</v>
      </c>
    </row>
    <row r="181" spans="1:7">
      <c r="A181" s="3"/>
      <c r="B181" s="5" t="s">
        <v>189</v>
      </c>
      <c r="C181" s="12">
        <v>320</v>
      </c>
      <c r="D181" s="12" t="s">
        <v>44</v>
      </c>
      <c r="E181" s="12">
        <f>(11.36)*(1)</f>
        <v>11.36</v>
      </c>
      <c r="F181" s="12">
        <v>0</v>
      </c>
      <c r="G181" s="12">
        <f t="shared" si="12"/>
        <v>3635.2</v>
      </c>
    </row>
    <row r="182" spans="1:7">
      <c r="A182" s="3"/>
      <c r="B182" s="5" t="s">
        <v>190</v>
      </c>
      <c r="C182" s="12">
        <v>320</v>
      </c>
      <c r="D182" s="12" t="s">
        <v>44</v>
      </c>
      <c r="E182" s="12">
        <f>(15.3)*(1)</f>
        <v>15.3</v>
      </c>
      <c r="F182" s="12">
        <v>0</v>
      </c>
      <c r="G182" s="12">
        <f t="shared" si="12"/>
        <v>4896</v>
      </c>
    </row>
    <row r="183" spans="1:7">
      <c r="A183" s="3"/>
      <c r="B183" s="5" t="s">
        <v>191</v>
      </c>
      <c r="C183" s="12">
        <v>150</v>
      </c>
      <c r="D183" s="12" t="s">
        <v>21</v>
      </c>
      <c r="E183" s="12">
        <f>(0.8)*(1)</f>
        <v>0.8</v>
      </c>
      <c r="F183" s="12">
        <v>0</v>
      </c>
      <c r="G183" s="12">
        <f t="shared" si="12"/>
        <v>120</v>
      </c>
    </row>
    <row r="184" spans="1:7">
      <c r="A184" s="3"/>
      <c r="B184" s="5" t="s">
        <v>192</v>
      </c>
      <c r="C184" s="12">
        <v>200</v>
      </c>
      <c r="D184" s="12" t="s">
        <v>44</v>
      </c>
      <c r="E184" s="12">
        <f>(1.1)*(1)</f>
        <v>1.1000000000000001</v>
      </c>
      <c r="F184" s="12">
        <v>0</v>
      </c>
      <c r="G184" s="12">
        <f t="shared" si="12"/>
        <v>220.00000000000003</v>
      </c>
    </row>
    <row r="185" spans="1:7">
      <c r="A185" s="3"/>
      <c r="B185" s="5" t="s">
        <v>113</v>
      </c>
      <c r="C185" s="12">
        <v>150</v>
      </c>
      <c r="D185" s="12" t="s">
        <v>44</v>
      </c>
      <c r="E185" s="12">
        <f>(3.98)*(1)</f>
        <v>3.98</v>
      </c>
      <c r="F185" s="12">
        <v>0</v>
      </c>
      <c r="G185" s="12">
        <f t="shared" si="12"/>
        <v>597</v>
      </c>
    </row>
    <row r="186" spans="1:7">
      <c r="A186" s="3"/>
      <c r="B186" s="5" t="s">
        <v>193</v>
      </c>
      <c r="C186" s="12">
        <v>580</v>
      </c>
      <c r="D186" s="12" t="s">
        <v>44</v>
      </c>
      <c r="E186" s="12">
        <f>(11.37)*(1)</f>
        <v>11.37</v>
      </c>
      <c r="F186" s="12">
        <v>0</v>
      </c>
      <c r="G186" s="12">
        <f t="shared" si="12"/>
        <v>6594.5999999999995</v>
      </c>
    </row>
    <row r="187" spans="1:7">
      <c r="A187" s="3"/>
      <c r="B187" s="5" t="s">
        <v>194</v>
      </c>
      <c r="C187" s="12">
        <v>13</v>
      </c>
      <c r="D187" s="12" t="s">
        <v>44</v>
      </c>
      <c r="E187" s="12">
        <f>(200)*(1)</f>
        <v>200</v>
      </c>
      <c r="F187" s="12">
        <v>0</v>
      </c>
      <c r="G187" s="12">
        <f t="shared" si="12"/>
        <v>2600</v>
      </c>
    </row>
    <row r="188" spans="1:7" ht="30">
      <c r="A188" s="3"/>
      <c r="B188" s="5" t="s">
        <v>195</v>
      </c>
      <c r="C188" s="12">
        <v>3</v>
      </c>
      <c r="D188" s="12" t="s">
        <v>21</v>
      </c>
      <c r="E188" s="12">
        <f>(500)*(1)</f>
        <v>500</v>
      </c>
      <c r="F188" s="12">
        <v>0</v>
      </c>
      <c r="G188" s="12">
        <f t="shared" si="12"/>
        <v>1500</v>
      </c>
    </row>
    <row r="189" spans="1:7" ht="30">
      <c r="A189" s="3"/>
      <c r="B189" s="5" t="s">
        <v>196</v>
      </c>
      <c r="C189" s="12">
        <v>1</v>
      </c>
      <c r="D189" s="12" t="s">
        <v>21</v>
      </c>
      <c r="E189" s="12">
        <f>(400)*(1)</f>
        <v>400</v>
      </c>
      <c r="F189" s="12">
        <v>0</v>
      </c>
      <c r="G189" s="12">
        <f t="shared" si="12"/>
        <v>400</v>
      </c>
    </row>
    <row r="190" spans="1:7">
      <c r="A190" s="3"/>
      <c r="B190" s="5" t="s">
        <v>197</v>
      </c>
      <c r="C190" s="12">
        <v>4</v>
      </c>
      <c r="D190" s="12" t="s">
        <v>21</v>
      </c>
      <c r="E190" s="12">
        <f>(110)*(1)</f>
        <v>110</v>
      </c>
      <c r="F190" s="12">
        <v>0</v>
      </c>
      <c r="G190" s="12">
        <f t="shared" si="12"/>
        <v>440</v>
      </c>
    </row>
    <row r="191" spans="1:7" ht="18.75">
      <c r="A191" s="2"/>
      <c r="B191" s="8" t="s">
        <v>198</v>
      </c>
      <c r="C191" s="11"/>
      <c r="D191" s="11"/>
      <c r="E191" s="11"/>
      <c r="F191" s="11"/>
      <c r="G191" s="11"/>
    </row>
    <row r="192" spans="1:7" ht="30">
      <c r="A192" s="3"/>
      <c r="B192" s="5" t="s">
        <v>199</v>
      </c>
      <c r="C192" s="12">
        <v>14</v>
      </c>
      <c r="D192" s="12" t="s">
        <v>21</v>
      </c>
      <c r="E192" s="12">
        <f>(450)*(1)</f>
        <v>450</v>
      </c>
      <c r="F192" s="12">
        <v>0</v>
      </c>
      <c r="G192" s="12">
        <f xml:space="preserve"> (C192 * E192 + C192 * E192 * F192)</f>
        <v>6300</v>
      </c>
    </row>
    <row r="193" spans="1:7" ht="18.75">
      <c r="A193" s="2"/>
      <c r="B193" s="8" t="s">
        <v>200</v>
      </c>
      <c r="C193" s="11"/>
      <c r="D193" s="11"/>
      <c r="E193" s="11"/>
      <c r="F193" s="11"/>
      <c r="G193" s="11"/>
    </row>
    <row r="194" spans="1:7">
      <c r="A194" s="3"/>
      <c r="B194" s="5" t="s">
        <v>201</v>
      </c>
      <c r="C194" s="12">
        <v>1</v>
      </c>
      <c r="D194" s="12" t="s">
        <v>21</v>
      </c>
      <c r="E194" s="12">
        <f>(2600)*(1)</f>
        <v>2600</v>
      </c>
      <c r="F194" s="12">
        <v>0</v>
      </c>
      <c r="G194" s="12">
        <f t="shared" ref="G194:G220" si="13" xml:space="preserve"> (C194 * E194 + C194 * E194 * F194)</f>
        <v>2600</v>
      </c>
    </row>
    <row r="195" spans="1:7" ht="30">
      <c r="A195" s="3"/>
      <c r="B195" s="5" t="s">
        <v>202</v>
      </c>
      <c r="C195" s="12">
        <v>255</v>
      </c>
      <c r="D195" s="12" t="s">
        <v>44</v>
      </c>
      <c r="E195" s="12">
        <f>(45)*(1)</f>
        <v>45</v>
      </c>
      <c r="F195" s="12">
        <v>0</v>
      </c>
      <c r="G195" s="12">
        <f t="shared" si="13"/>
        <v>11475</v>
      </c>
    </row>
    <row r="196" spans="1:7">
      <c r="A196" s="3"/>
      <c r="B196" s="5" t="s">
        <v>203</v>
      </c>
      <c r="C196" s="12">
        <v>8</v>
      </c>
      <c r="D196" s="12" t="s">
        <v>21</v>
      </c>
      <c r="E196" s="12">
        <f>(300)*(1)</f>
        <v>300</v>
      </c>
      <c r="F196" s="12">
        <v>0</v>
      </c>
      <c r="G196" s="12">
        <f t="shared" si="13"/>
        <v>2400</v>
      </c>
    </row>
    <row r="197" spans="1:7">
      <c r="A197" s="3"/>
      <c r="B197" s="5" t="s">
        <v>204</v>
      </c>
      <c r="C197" s="12">
        <v>1</v>
      </c>
      <c r="D197" s="12" t="s">
        <v>21</v>
      </c>
      <c r="E197" s="12">
        <f>(160)*(1)</f>
        <v>160</v>
      </c>
      <c r="F197" s="12">
        <v>0</v>
      </c>
      <c r="G197" s="12">
        <f t="shared" si="13"/>
        <v>160</v>
      </c>
    </row>
    <row r="198" spans="1:7">
      <c r="A198" s="3"/>
      <c r="B198" s="5" t="s">
        <v>205</v>
      </c>
      <c r="C198" s="12">
        <v>4</v>
      </c>
      <c r="D198" s="12" t="s">
        <v>21</v>
      </c>
      <c r="E198" s="12">
        <f>(75)*(1)</f>
        <v>75</v>
      </c>
      <c r="F198" s="12">
        <v>0</v>
      </c>
      <c r="G198" s="12">
        <f t="shared" si="13"/>
        <v>300</v>
      </c>
    </row>
    <row r="199" spans="1:7" ht="30">
      <c r="A199" s="3"/>
      <c r="B199" s="5" t="s">
        <v>206</v>
      </c>
      <c r="C199" s="12">
        <v>108</v>
      </c>
      <c r="D199" s="12" t="s">
        <v>21</v>
      </c>
      <c r="E199" s="12">
        <f>(55)*(1)</f>
        <v>55</v>
      </c>
      <c r="F199" s="12">
        <v>0</v>
      </c>
      <c r="G199" s="12">
        <f t="shared" si="13"/>
        <v>5940</v>
      </c>
    </row>
    <row r="200" spans="1:7" ht="30">
      <c r="A200" s="3"/>
      <c r="B200" s="5" t="s">
        <v>207</v>
      </c>
      <c r="C200" s="12">
        <v>1</v>
      </c>
      <c r="D200" s="12" t="s">
        <v>19</v>
      </c>
      <c r="E200" s="12">
        <f>(5000)*(1)</f>
        <v>5000</v>
      </c>
      <c r="F200" s="12">
        <v>0</v>
      </c>
      <c r="G200" s="12">
        <f t="shared" si="13"/>
        <v>5000</v>
      </c>
    </row>
    <row r="201" spans="1:7">
      <c r="A201" s="3"/>
      <c r="B201" s="5" t="s">
        <v>208</v>
      </c>
      <c r="C201" s="12">
        <v>6</v>
      </c>
      <c r="D201" s="12" t="s">
        <v>21</v>
      </c>
      <c r="E201" s="12">
        <f>(55)*(1)</f>
        <v>55</v>
      </c>
      <c r="F201" s="12">
        <v>0</v>
      </c>
      <c r="G201" s="12">
        <f t="shared" si="13"/>
        <v>330</v>
      </c>
    </row>
    <row r="202" spans="1:7">
      <c r="A202" s="3"/>
      <c r="B202" s="5" t="s">
        <v>209</v>
      </c>
      <c r="C202" s="12">
        <v>4</v>
      </c>
      <c r="D202" s="12" t="s">
        <v>21</v>
      </c>
      <c r="E202" s="12">
        <f>(55)*(1)</f>
        <v>55</v>
      </c>
      <c r="F202" s="12">
        <v>0</v>
      </c>
      <c r="G202" s="12">
        <f t="shared" si="13"/>
        <v>220</v>
      </c>
    </row>
    <row r="203" spans="1:7">
      <c r="A203" s="3"/>
      <c r="B203" s="5" t="s">
        <v>210</v>
      </c>
      <c r="C203" s="12">
        <v>3</v>
      </c>
      <c r="D203" s="12" t="s">
        <v>21</v>
      </c>
      <c r="E203" s="12">
        <f>(35)*(1)</f>
        <v>35</v>
      </c>
      <c r="F203" s="12">
        <v>0</v>
      </c>
      <c r="G203" s="12">
        <f t="shared" si="13"/>
        <v>105</v>
      </c>
    </row>
    <row r="204" spans="1:7">
      <c r="A204" s="3"/>
      <c r="B204" s="5" t="s">
        <v>211</v>
      </c>
      <c r="C204" s="12">
        <v>43</v>
      </c>
      <c r="D204" s="12" t="s">
        <v>21</v>
      </c>
      <c r="E204" s="12">
        <f>(55)*(1)</f>
        <v>55</v>
      </c>
      <c r="F204" s="12">
        <v>0</v>
      </c>
      <c r="G204" s="12">
        <f t="shared" si="13"/>
        <v>2365</v>
      </c>
    </row>
    <row r="205" spans="1:7" ht="30">
      <c r="A205" s="3"/>
      <c r="B205" s="5" t="s">
        <v>212</v>
      </c>
      <c r="C205" s="12">
        <v>3</v>
      </c>
      <c r="D205" s="12" t="s">
        <v>21</v>
      </c>
      <c r="E205" s="12">
        <f>(65)*(1)</f>
        <v>65</v>
      </c>
      <c r="F205" s="12">
        <v>0</v>
      </c>
      <c r="G205" s="12">
        <f t="shared" si="13"/>
        <v>195</v>
      </c>
    </row>
    <row r="206" spans="1:7" ht="30">
      <c r="A206" s="3"/>
      <c r="B206" s="5" t="s">
        <v>213</v>
      </c>
      <c r="C206" s="12">
        <v>2</v>
      </c>
      <c r="D206" s="12" t="s">
        <v>21</v>
      </c>
      <c r="E206" s="12">
        <f>(75)*(1)</f>
        <v>75</v>
      </c>
      <c r="F206" s="12">
        <v>0</v>
      </c>
      <c r="G206" s="12">
        <f t="shared" si="13"/>
        <v>150</v>
      </c>
    </row>
    <row r="207" spans="1:7" ht="30">
      <c r="A207" s="3"/>
      <c r="B207" s="5" t="s">
        <v>214</v>
      </c>
      <c r="C207" s="12">
        <v>1</v>
      </c>
      <c r="D207" s="12" t="s">
        <v>21</v>
      </c>
      <c r="E207" s="12">
        <f>(150)*(1)</f>
        <v>150</v>
      </c>
      <c r="F207" s="12">
        <v>0</v>
      </c>
      <c r="G207" s="12">
        <f t="shared" si="13"/>
        <v>150</v>
      </c>
    </row>
    <row r="208" spans="1:7">
      <c r="A208" s="3"/>
      <c r="B208" s="5" t="s">
        <v>215</v>
      </c>
      <c r="C208" s="12">
        <v>1</v>
      </c>
      <c r="D208" s="12" t="s">
        <v>21</v>
      </c>
      <c r="E208" s="12">
        <f>(80)*(1)</f>
        <v>80</v>
      </c>
      <c r="F208" s="12">
        <v>0</v>
      </c>
      <c r="G208" s="12">
        <f t="shared" si="13"/>
        <v>80</v>
      </c>
    </row>
    <row r="209" spans="1:7">
      <c r="A209" s="3"/>
      <c r="B209" s="5" t="s">
        <v>216</v>
      </c>
      <c r="C209" s="12">
        <v>1</v>
      </c>
      <c r="D209" s="12" t="s">
        <v>21</v>
      </c>
      <c r="E209" s="12">
        <f>(95)*(1)</f>
        <v>95</v>
      </c>
      <c r="F209" s="12">
        <v>0</v>
      </c>
      <c r="G209" s="12">
        <f t="shared" si="13"/>
        <v>95</v>
      </c>
    </row>
    <row r="210" spans="1:7">
      <c r="A210" s="3"/>
      <c r="B210" s="5" t="s">
        <v>217</v>
      </c>
      <c r="C210" s="12">
        <v>1</v>
      </c>
      <c r="D210" s="12" t="s">
        <v>21</v>
      </c>
      <c r="E210" s="12">
        <f>(90)*(1)</f>
        <v>90</v>
      </c>
      <c r="F210" s="12">
        <v>0</v>
      </c>
      <c r="G210" s="12">
        <f t="shared" si="13"/>
        <v>90</v>
      </c>
    </row>
    <row r="211" spans="1:7">
      <c r="A211" s="3"/>
      <c r="B211" s="5" t="s">
        <v>218</v>
      </c>
      <c r="C211" s="12">
        <v>1</v>
      </c>
      <c r="D211" s="12" t="s">
        <v>21</v>
      </c>
      <c r="E211" s="12">
        <f>(160)*(1)</f>
        <v>160</v>
      </c>
      <c r="F211" s="12">
        <v>0</v>
      </c>
      <c r="G211" s="12">
        <f t="shared" si="13"/>
        <v>160</v>
      </c>
    </row>
    <row r="212" spans="1:7" ht="30">
      <c r="A212" s="3"/>
      <c r="B212" s="5" t="s">
        <v>219</v>
      </c>
      <c r="C212" s="12">
        <v>2</v>
      </c>
      <c r="D212" s="12" t="s">
        <v>21</v>
      </c>
      <c r="E212" s="12">
        <f>(300)*(1)</f>
        <v>300</v>
      </c>
      <c r="F212" s="12">
        <v>0</v>
      </c>
      <c r="G212" s="12">
        <f t="shared" si="13"/>
        <v>600</v>
      </c>
    </row>
    <row r="213" spans="1:7">
      <c r="A213" s="3"/>
      <c r="B213" s="5" t="s">
        <v>220</v>
      </c>
      <c r="C213" s="12">
        <v>3</v>
      </c>
      <c r="D213" s="12" t="s">
        <v>21</v>
      </c>
      <c r="E213" s="12">
        <f>(55)*(1)</f>
        <v>55</v>
      </c>
      <c r="F213" s="12">
        <v>0</v>
      </c>
      <c r="G213" s="12">
        <f t="shared" si="13"/>
        <v>165</v>
      </c>
    </row>
    <row r="214" spans="1:7">
      <c r="A214" s="3"/>
      <c r="B214" s="5" t="s">
        <v>221</v>
      </c>
      <c r="C214" s="12">
        <v>3</v>
      </c>
      <c r="D214" s="12" t="s">
        <v>21</v>
      </c>
      <c r="E214" s="12">
        <f>(55)*(1)</f>
        <v>55</v>
      </c>
      <c r="F214" s="12">
        <v>0</v>
      </c>
      <c r="G214" s="12">
        <f t="shared" si="13"/>
        <v>165</v>
      </c>
    </row>
    <row r="215" spans="1:7">
      <c r="A215" s="3"/>
      <c r="B215" s="5" t="s">
        <v>222</v>
      </c>
      <c r="C215" s="12">
        <v>4</v>
      </c>
      <c r="D215" s="12" t="s">
        <v>21</v>
      </c>
      <c r="E215" s="12">
        <f>(100)*(1)</f>
        <v>100</v>
      </c>
      <c r="F215" s="12">
        <v>0</v>
      </c>
      <c r="G215" s="12">
        <f t="shared" si="13"/>
        <v>400</v>
      </c>
    </row>
    <row r="216" spans="1:7" ht="30">
      <c r="A216" s="3"/>
      <c r="B216" s="5" t="s">
        <v>223</v>
      </c>
      <c r="C216" s="12">
        <v>1</v>
      </c>
      <c r="D216" s="12" t="s">
        <v>21</v>
      </c>
      <c r="E216" s="12">
        <f>(300)*(1)</f>
        <v>300</v>
      </c>
      <c r="F216" s="12">
        <v>0</v>
      </c>
      <c r="G216" s="12">
        <f t="shared" si="13"/>
        <v>300</v>
      </c>
    </row>
    <row r="217" spans="1:7" ht="30">
      <c r="A217" s="3"/>
      <c r="B217" s="5" t="s">
        <v>224</v>
      </c>
      <c r="C217" s="12">
        <v>1</v>
      </c>
      <c r="D217" s="12" t="s">
        <v>21</v>
      </c>
      <c r="E217" s="12">
        <f>(400)*(1)</f>
        <v>400</v>
      </c>
      <c r="F217" s="12">
        <v>0</v>
      </c>
      <c r="G217" s="12">
        <f t="shared" si="13"/>
        <v>400</v>
      </c>
    </row>
    <row r="218" spans="1:7">
      <c r="A218" s="3"/>
      <c r="B218" s="5" t="s">
        <v>225</v>
      </c>
      <c r="C218" s="12">
        <v>1</v>
      </c>
      <c r="D218" s="12" t="s">
        <v>21</v>
      </c>
      <c r="E218" s="12">
        <f>(85)*(1)</f>
        <v>85</v>
      </c>
      <c r="F218" s="12">
        <v>0</v>
      </c>
      <c r="G218" s="12">
        <f t="shared" si="13"/>
        <v>85</v>
      </c>
    </row>
    <row r="219" spans="1:7">
      <c r="A219" s="3"/>
      <c r="B219" s="5" t="s">
        <v>226</v>
      </c>
      <c r="C219" s="12">
        <v>1</v>
      </c>
      <c r="D219" s="12" t="s">
        <v>21</v>
      </c>
      <c r="E219" s="12">
        <f>(8500)*(1)</f>
        <v>8500</v>
      </c>
      <c r="F219" s="12">
        <v>0</v>
      </c>
      <c r="G219" s="12">
        <f t="shared" si="13"/>
        <v>8500</v>
      </c>
    </row>
    <row r="220" spans="1:7" ht="30">
      <c r="A220" s="3"/>
      <c r="B220" s="5" t="s">
        <v>227</v>
      </c>
      <c r="C220" s="12">
        <v>1</v>
      </c>
      <c r="D220" s="12" t="s">
        <v>21</v>
      </c>
      <c r="E220" s="12">
        <f>(250)*(1)</f>
        <v>250</v>
      </c>
      <c r="F220" s="12">
        <v>0</v>
      </c>
      <c r="G220" s="12">
        <f t="shared" si="13"/>
        <v>250</v>
      </c>
    </row>
    <row r="221" spans="1:7" ht="18.75">
      <c r="A221" s="2"/>
      <c r="B221" s="8" t="s">
        <v>228</v>
      </c>
      <c r="C221" s="11"/>
      <c r="D221" s="11"/>
      <c r="E221" s="11"/>
      <c r="F221" s="11"/>
      <c r="G221" s="11"/>
    </row>
    <row r="222" spans="1:7" ht="30">
      <c r="A222" s="3"/>
      <c r="B222" s="5" t="s">
        <v>229</v>
      </c>
      <c r="C222" s="12">
        <v>1</v>
      </c>
      <c r="D222" s="12" t="s">
        <v>19</v>
      </c>
      <c r="E222" s="12">
        <f>(53491)*(1)</f>
        <v>53491</v>
      </c>
      <c r="F222" s="12">
        <v>0</v>
      </c>
      <c r="G222" s="12">
        <f xml:space="preserve"> (C222 * E222 + C222 * E222 * F222)</f>
        <v>53491</v>
      </c>
    </row>
    <row r="223" spans="1:7" ht="45">
      <c r="A223" s="3"/>
      <c r="B223" s="5" t="s">
        <v>230</v>
      </c>
      <c r="C223" s="12">
        <v>1</v>
      </c>
      <c r="D223" s="12" t="s">
        <v>19</v>
      </c>
      <c r="E223" s="12">
        <f>(10000)*(1)</f>
        <v>10000</v>
      </c>
      <c r="F223" s="12">
        <v>0</v>
      </c>
      <c r="G223" s="12">
        <f xml:space="preserve"> (C223 * E223 + C223 * E223 * F223)</f>
        <v>10000</v>
      </c>
    </row>
    <row r="224" spans="1:7" ht="30">
      <c r="A224" s="3"/>
      <c r="B224" s="5" t="s">
        <v>231</v>
      </c>
      <c r="C224" s="12">
        <v>2</v>
      </c>
      <c r="D224" s="12" t="s">
        <v>21</v>
      </c>
      <c r="E224" s="12">
        <f>(600)*(1)</f>
        <v>600</v>
      </c>
      <c r="F224" s="12">
        <v>0</v>
      </c>
      <c r="G224" s="12">
        <f xml:space="preserve"> (C224 * E224 + C224 * E224 * F224)</f>
        <v>1200</v>
      </c>
    </row>
    <row r="225" spans="1:7" ht="18.75">
      <c r="A225" s="2"/>
      <c r="B225" s="8" t="s">
        <v>232</v>
      </c>
      <c r="C225" s="11"/>
      <c r="D225" s="11"/>
      <c r="E225" s="11"/>
      <c r="F225" s="11"/>
      <c r="G225" s="11"/>
    </row>
    <row r="226" spans="1:7" ht="30">
      <c r="A226" s="3"/>
      <c r="B226" s="5" t="s">
        <v>233</v>
      </c>
      <c r="C226" s="12">
        <v>274</v>
      </c>
      <c r="D226" s="12" t="s">
        <v>8</v>
      </c>
      <c r="E226" s="12">
        <f>(9.75)*(1)</f>
        <v>9.75</v>
      </c>
      <c r="F226" s="12">
        <v>0</v>
      </c>
      <c r="G226" s="12">
        <f t="shared" ref="G226:G233" si="14" xml:space="preserve"> (C226 * E226 + C226 * E226 * F226)</f>
        <v>2671.5</v>
      </c>
    </row>
    <row r="227" spans="1:7">
      <c r="A227" s="3"/>
      <c r="B227" s="5" t="s">
        <v>234</v>
      </c>
      <c r="C227" s="12">
        <v>274</v>
      </c>
      <c r="D227" s="12" t="s">
        <v>8</v>
      </c>
      <c r="E227" s="12">
        <f>(6.4)*(1)</f>
        <v>6.4</v>
      </c>
      <c r="F227" s="12">
        <v>0</v>
      </c>
      <c r="G227" s="12">
        <f t="shared" si="14"/>
        <v>1753.6000000000001</v>
      </c>
    </row>
    <row r="228" spans="1:7">
      <c r="A228" s="3"/>
      <c r="B228" s="5" t="s">
        <v>235</v>
      </c>
      <c r="C228" s="12">
        <v>274</v>
      </c>
      <c r="D228" s="12" t="s">
        <v>8</v>
      </c>
      <c r="E228" s="12">
        <f>(0.88)*(1)</f>
        <v>0.88</v>
      </c>
      <c r="F228" s="12">
        <v>0</v>
      </c>
      <c r="G228" s="12">
        <f t="shared" si="14"/>
        <v>241.12</v>
      </c>
    </row>
    <row r="229" spans="1:7" ht="30">
      <c r="A229" s="3"/>
      <c r="B229" s="5" t="s">
        <v>236</v>
      </c>
      <c r="C229" s="12">
        <v>144.62099181967858</v>
      </c>
      <c r="D229" s="12" t="s">
        <v>8</v>
      </c>
      <c r="E229" s="12">
        <f>(9.47)*(1)</f>
        <v>9.4700000000000006</v>
      </c>
      <c r="F229" s="12">
        <v>0</v>
      </c>
      <c r="G229" s="12">
        <f t="shared" si="14"/>
        <v>1369.5607925323563</v>
      </c>
    </row>
    <row r="230" spans="1:7" ht="30">
      <c r="A230" s="3"/>
      <c r="B230" s="5" t="s">
        <v>237</v>
      </c>
      <c r="C230" s="12">
        <v>274</v>
      </c>
      <c r="D230" s="12" t="s">
        <v>8</v>
      </c>
      <c r="E230" s="12">
        <f>(11.2)*(1)</f>
        <v>11.2</v>
      </c>
      <c r="F230" s="12">
        <v>0</v>
      </c>
      <c r="G230" s="12">
        <f t="shared" si="14"/>
        <v>3068.7999999999997</v>
      </c>
    </row>
    <row r="231" spans="1:7">
      <c r="A231" s="3"/>
      <c r="B231" s="5" t="s">
        <v>238</v>
      </c>
      <c r="C231" s="12">
        <v>12</v>
      </c>
      <c r="D231" s="12" t="s">
        <v>44</v>
      </c>
      <c r="E231" s="12">
        <f>(30)*(1)</f>
        <v>30</v>
      </c>
      <c r="F231" s="12">
        <v>0</v>
      </c>
      <c r="G231" s="12">
        <f t="shared" si="14"/>
        <v>360</v>
      </c>
    </row>
    <row r="232" spans="1:7" ht="30">
      <c r="A232" s="3"/>
      <c r="B232" s="5" t="s">
        <v>239</v>
      </c>
      <c r="C232" s="12">
        <v>8</v>
      </c>
      <c r="D232" s="12" t="s">
        <v>21</v>
      </c>
      <c r="E232" s="12">
        <f>(30)*(1)</f>
        <v>30</v>
      </c>
      <c r="F232" s="12">
        <v>0</v>
      </c>
      <c r="G232" s="12">
        <f t="shared" si="14"/>
        <v>240</v>
      </c>
    </row>
    <row r="233" spans="1:7" ht="30">
      <c r="A233" s="3"/>
      <c r="B233" s="5" t="s">
        <v>240</v>
      </c>
      <c r="C233" s="12">
        <v>55</v>
      </c>
      <c r="D233" s="12" t="s">
        <v>8</v>
      </c>
      <c r="E233" s="12">
        <f>(22.5)*(1)</f>
        <v>22.5</v>
      </c>
      <c r="F233" s="12">
        <v>0</v>
      </c>
      <c r="G233" s="12">
        <f t="shared" si="14"/>
        <v>1237.5</v>
      </c>
    </row>
    <row r="234" spans="1:7" ht="18.75">
      <c r="A234" s="2"/>
      <c r="B234" s="8" t="s">
        <v>241</v>
      </c>
      <c r="C234" s="11"/>
      <c r="D234" s="11"/>
      <c r="E234" s="11"/>
      <c r="F234" s="11"/>
      <c r="G234" s="11"/>
    </row>
    <row r="235" spans="1:7" ht="30">
      <c r="A235" s="3"/>
      <c r="B235" s="5" t="s">
        <v>242</v>
      </c>
      <c r="C235" s="12">
        <v>164</v>
      </c>
      <c r="D235" s="12" t="s">
        <v>8</v>
      </c>
      <c r="E235" s="12">
        <f>(35)*(1)</f>
        <v>35</v>
      </c>
      <c r="F235" s="12">
        <v>0</v>
      </c>
      <c r="G235" s="12">
        <f xml:space="preserve"> (C235 * E235 + C235 * E235 * F235)</f>
        <v>5740</v>
      </c>
    </row>
    <row r="236" spans="1:7" ht="30">
      <c r="A236" s="3"/>
      <c r="B236" s="5" t="s">
        <v>243</v>
      </c>
      <c r="C236" s="12">
        <v>12</v>
      </c>
      <c r="D236" s="12" t="s">
        <v>8</v>
      </c>
      <c r="E236" s="12">
        <f>(60)*(1)</f>
        <v>60</v>
      </c>
      <c r="F236" s="12">
        <v>0</v>
      </c>
      <c r="G236" s="12">
        <f xml:space="preserve"> (C236 * E236 + C236 * E236 * F236)</f>
        <v>720</v>
      </c>
    </row>
    <row r="237" spans="1:7" ht="18.75">
      <c r="A237" s="2"/>
      <c r="B237" s="8" t="s">
        <v>244</v>
      </c>
      <c r="C237" s="11"/>
      <c r="D237" s="11"/>
      <c r="E237" s="11"/>
      <c r="F237" s="11"/>
      <c r="G237" s="11"/>
    </row>
    <row r="238" spans="1:7" ht="30">
      <c r="A238" s="3"/>
      <c r="B238" s="5" t="s">
        <v>245</v>
      </c>
      <c r="C238" s="12">
        <v>950</v>
      </c>
      <c r="D238" s="12" t="s">
        <v>8</v>
      </c>
      <c r="E238" s="12">
        <f>(22)*(1)</f>
        <v>22</v>
      </c>
      <c r="F238" s="12">
        <v>0</v>
      </c>
      <c r="G238" s="12">
        <f xml:space="preserve"> (C238 * E238 + C238 * E238 * F238)</f>
        <v>20900</v>
      </c>
    </row>
    <row r="239" spans="1:7">
      <c r="A239" s="3"/>
      <c r="B239" s="5" t="s">
        <v>246</v>
      </c>
      <c r="C239" s="12">
        <v>248</v>
      </c>
      <c r="D239" s="12" t="s">
        <v>8</v>
      </c>
      <c r="E239" s="12">
        <f>(2.52)*(1)</f>
        <v>2.52</v>
      </c>
      <c r="F239" s="12">
        <v>0</v>
      </c>
      <c r="G239" s="12">
        <f xml:space="preserve"> (C239 * E239 + C239 * E239 * F239)</f>
        <v>624.96</v>
      </c>
    </row>
    <row r="240" spans="1:7">
      <c r="A240" s="3"/>
      <c r="B240" s="5" t="s">
        <v>247</v>
      </c>
      <c r="C240" s="12">
        <v>248</v>
      </c>
      <c r="D240" s="12" t="s">
        <v>44</v>
      </c>
      <c r="E240" s="12">
        <f>(12.5)*(1)</f>
        <v>12.5</v>
      </c>
      <c r="F240" s="12">
        <v>0</v>
      </c>
      <c r="G240" s="12">
        <f xml:space="preserve"> (C240 * E240 + C240 * E240 * F240)</f>
        <v>3100</v>
      </c>
    </row>
    <row r="241" spans="1:7" ht="30">
      <c r="A241" s="3"/>
      <c r="B241" s="5" t="s">
        <v>248</v>
      </c>
      <c r="C241" s="12">
        <v>685</v>
      </c>
      <c r="D241" s="12" t="s">
        <v>44</v>
      </c>
      <c r="E241" s="12">
        <f>(12.5)*(1)</f>
        <v>12.5</v>
      </c>
      <c r="F241" s="12">
        <v>0</v>
      </c>
      <c r="G241" s="12">
        <f xml:space="preserve"> (C241 * E241 + C241 * E241 * F241)</f>
        <v>8562.5</v>
      </c>
    </row>
    <row r="242" spans="1:7" ht="18.75">
      <c r="A242" s="2"/>
      <c r="B242" s="8" t="s">
        <v>249</v>
      </c>
      <c r="C242" s="11"/>
      <c r="D242" s="11"/>
      <c r="E242" s="11"/>
      <c r="F242" s="11"/>
      <c r="G242" s="11"/>
    </row>
    <row r="243" spans="1:7" ht="15.75">
      <c r="A243" s="4"/>
      <c r="B243" s="9" t="s">
        <v>250</v>
      </c>
      <c r="C243" s="13"/>
      <c r="D243" s="13"/>
      <c r="E243" s="13"/>
      <c r="F243" s="13"/>
      <c r="G243" s="13"/>
    </row>
    <row r="244" spans="1:7">
      <c r="A244" s="3"/>
      <c r="B244" s="10" t="s">
        <v>251</v>
      </c>
      <c r="C244" s="12">
        <v>96</v>
      </c>
      <c r="D244" s="12" t="s">
        <v>42</v>
      </c>
      <c r="E244" s="12">
        <f t="shared" ref="E244:E250" si="15">(50)*(1)</f>
        <v>50</v>
      </c>
      <c r="F244" s="12">
        <v>0</v>
      </c>
      <c r="G244" s="12">
        <f t="shared" ref="G244:G262" si="16" xml:space="preserve"> (C244 * E244 + C244 * E244 * F244)</f>
        <v>4800</v>
      </c>
    </row>
    <row r="245" spans="1:7">
      <c r="A245" s="3"/>
      <c r="B245" s="10" t="s">
        <v>252</v>
      </c>
      <c r="C245" s="12">
        <v>64</v>
      </c>
      <c r="D245" s="12" t="s">
        <v>42</v>
      </c>
      <c r="E245" s="12">
        <f t="shared" si="15"/>
        <v>50</v>
      </c>
      <c r="F245" s="12">
        <v>0</v>
      </c>
      <c r="G245" s="12">
        <f t="shared" si="16"/>
        <v>3200</v>
      </c>
    </row>
    <row r="246" spans="1:7">
      <c r="A246" s="3"/>
      <c r="B246" s="10" t="s">
        <v>253</v>
      </c>
      <c r="C246" s="12">
        <v>32</v>
      </c>
      <c r="D246" s="12" t="s">
        <v>42</v>
      </c>
      <c r="E246" s="12">
        <f t="shared" si="15"/>
        <v>50</v>
      </c>
      <c r="F246" s="12">
        <v>0</v>
      </c>
      <c r="G246" s="12">
        <f t="shared" si="16"/>
        <v>1600</v>
      </c>
    </row>
    <row r="247" spans="1:7">
      <c r="A247" s="3"/>
      <c r="B247" s="10" t="s">
        <v>254</v>
      </c>
      <c r="C247" s="12">
        <v>32</v>
      </c>
      <c r="D247" s="12" t="s">
        <v>42</v>
      </c>
      <c r="E247" s="12">
        <f t="shared" si="15"/>
        <v>50</v>
      </c>
      <c r="F247" s="12">
        <v>0</v>
      </c>
      <c r="G247" s="12">
        <f t="shared" si="16"/>
        <v>1600</v>
      </c>
    </row>
    <row r="248" spans="1:7">
      <c r="A248" s="3"/>
      <c r="B248" s="10" t="s">
        <v>255</v>
      </c>
      <c r="C248" s="12">
        <v>48</v>
      </c>
      <c r="D248" s="12" t="s">
        <v>42</v>
      </c>
      <c r="E248" s="12">
        <f t="shared" si="15"/>
        <v>50</v>
      </c>
      <c r="F248" s="12">
        <v>0</v>
      </c>
      <c r="G248" s="12">
        <f t="shared" si="16"/>
        <v>2400</v>
      </c>
    </row>
    <row r="249" spans="1:7">
      <c r="A249" s="3"/>
      <c r="B249" s="10" t="s">
        <v>256</v>
      </c>
      <c r="C249" s="12">
        <v>4</v>
      </c>
      <c r="D249" s="12" t="s">
        <v>42</v>
      </c>
      <c r="E249" s="12">
        <f t="shared" si="15"/>
        <v>50</v>
      </c>
      <c r="F249" s="12">
        <v>0</v>
      </c>
      <c r="G249" s="12">
        <f t="shared" si="16"/>
        <v>200</v>
      </c>
    </row>
    <row r="250" spans="1:7">
      <c r="A250" s="3"/>
      <c r="B250" s="10" t="s">
        <v>257</v>
      </c>
      <c r="C250" s="12">
        <v>48</v>
      </c>
      <c r="D250" s="12" t="s">
        <v>42</v>
      </c>
      <c r="E250" s="12">
        <f t="shared" si="15"/>
        <v>50</v>
      </c>
      <c r="F250" s="12">
        <v>0</v>
      </c>
      <c r="G250" s="12">
        <f t="shared" si="16"/>
        <v>2400</v>
      </c>
    </row>
    <row r="251" spans="1:7">
      <c r="A251" s="3"/>
      <c r="B251" s="5" t="s">
        <v>258</v>
      </c>
      <c r="C251" s="12">
        <v>1</v>
      </c>
      <c r="D251" s="12" t="s">
        <v>19</v>
      </c>
      <c r="E251" s="12">
        <f>(400)*(1)</f>
        <v>400</v>
      </c>
      <c r="F251" s="12">
        <v>0</v>
      </c>
      <c r="G251" s="12">
        <f t="shared" si="16"/>
        <v>400</v>
      </c>
    </row>
    <row r="252" spans="1:7">
      <c r="A252" s="3"/>
      <c r="B252" s="5" t="s">
        <v>259</v>
      </c>
      <c r="C252" s="12">
        <v>1463</v>
      </c>
      <c r="D252" s="12" t="s">
        <v>44</v>
      </c>
      <c r="E252" s="12">
        <f>(19.32)*(1)</f>
        <v>19.32</v>
      </c>
      <c r="F252" s="12">
        <v>0</v>
      </c>
      <c r="G252" s="12">
        <f t="shared" si="16"/>
        <v>28265.16</v>
      </c>
    </row>
    <row r="253" spans="1:7">
      <c r="A253" s="3"/>
      <c r="B253" s="5" t="s">
        <v>260</v>
      </c>
      <c r="C253" s="12">
        <v>1020</v>
      </c>
      <c r="D253" s="12" t="s">
        <v>44</v>
      </c>
      <c r="E253" s="12">
        <f>(5.36)*(1)</f>
        <v>5.36</v>
      </c>
      <c r="F253" s="12">
        <v>0</v>
      </c>
      <c r="G253" s="12">
        <f t="shared" si="16"/>
        <v>5467.2000000000007</v>
      </c>
    </row>
    <row r="254" spans="1:7">
      <c r="A254" s="3"/>
      <c r="B254" s="5" t="s">
        <v>261</v>
      </c>
      <c r="C254" s="12">
        <v>8</v>
      </c>
      <c r="D254" s="12" t="s">
        <v>21</v>
      </c>
      <c r="E254" s="12">
        <f>(160)*(1)</f>
        <v>160</v>
      </c>
      <c r="F254" s="12">
        <v>0</v>
      </c>
      <c r="G254" s="12">
        <f t="shared" si="16"/>
        <v>1280</v>
      </c>
    </row>
    <row r="255" spans="1:7" ht="30">
      <c r="A255" s="3"/>
      <c r="B255" s="5" t="s">
        <v>262</v>
      </c>
      <c r="C255" s="12">
        <v>2</v>
      </c>
      <c r="D255" s="12" t="s">
        <v>21</v>
      </c>
      <c r="E255" s="12">
        <f>(380)*(1)</f>
        <v>380</v>
      </c>
      <c r="F255" s="12">
        <v>0</v>
      </c>
      <c r="G255" s="12">
        <f t="shared" si="16"/>
        <v>760</v>
      </c>
    </row>
    <row r="256" spans="1:7" ht="30">
      <c r="A256" s="3"/>
      <c r="B256" s="5" t="s">
        <v>263</v>
      </c>
      <c r="C256" s="12">
        <v>10</v>
      </c>
      <c r="D256" s="12" t="s">
        <v>21</v>
      </c>
      <c r="E256" s="12">
        <f>(85)*(1)</f>
        <v>85</v>
      </c>
      <c r="F256" s="12">
        <v>0</v>
      </c>
      <c r="G256" s="12">
        <f t="shared" si="16"/>
        <v>850</v>
      </c>
    </row>
    <row r="257" spans="1:7">
      <c r="A257" s="3"/>
      <c r="B257" s="5" t="s">
        <v>264</v>
      </c>
      <c r="C257" s="12">
        <v>216</v>
      </c>
      <c r="D257" s="12" t="s">
        <v>44</v>
      </c>
      <c r="E257" s="12">
        <f>(1)*(1)</f>
        <v>1</v>
      </c>
      <c r="F257" s="12">
        <v>0</v>
      </c>
      <c r="G257" s="12">
        <f t="shared" si="16"/>
        <v>216</v>
      </c>
    </row>
    <row r="258" spans="1:7">
      <c r="A258" s="3"/>
      <c r="B258" s="5" t="s">
        <v>265</v>
      </c>
      <c r="C258" s="12">
        <v>8</v>
      </c>
      <c r="D258" s="12" t="s">
        <v>21</v>
      </c>
      <c r="E258" s="12">
        <f>(80)*(1)</f>
        <v>80</v>
      </c>
      <c r="F258" s="12">
        <v>0</v>
      </c>
      <c r="G258" s="12">
        <f t="shared" si="16"/>
        <v>640</v>
      </c>
    </row>
    <row r="259" spans="1:7">
      <c r="A259" s="3"/>
      <c r="B259" s="5" t="s">
        <v>266</v>
      </c>
      <c r="C259" s="12">
        <v>4</v>
      </c>
      <c r="D259" s="12" t="s">
        <v>21</v>
      </c>
      <c r="E259" s="12">
        <f>(20)*(1)</f>
        <v>20</v>
      </c>
      <c r="F259" s="12">
        <v>0</v>
      </c>
      <c r="G259" s="12">
        <f t="shared" si="16"/>
        <v>80</v>
      </c>
    </row>
    <row r="260" spans="1:7">
      <c r="A260" s="3"/>
      <c r="B260" s="5" t="s">
        <v>267</v>
      </c>
      <c r="C260" s="12">
        <v>10</v>
      </c>
      <c r="D260" s="12" t="s">
        <v>21</v>
      </c>
      <c r="E260" s="12">
        <f>(20)*(1)</f>
        <v>20</v>
      </c>
      <c r="F260" s="12">
        <v>0</v>
      </c>
      <c r="G260" s="12">
        <f t="shared" si="16"/>
        <v>200</v>
      </c>
    </row>
    <row r="261" spans="1:7">
      <c r="A261" s="3"/>
      <c r="B261" s="5" t="s">
        <v>268</v>
      </c>
      <c r="C261" s="12">
        <v>5</v>
      </c>
      <c r="D261" s="12" t="s">
        <v>21</v>
      </c>
      <c r="E261" s="12">
        <f>(50)*(1)</f>
        <v>50</v>
      </c>
      <c r="F261" s="12">
        <v>0</v>
      </c>
      <c r="G261" s="12">
        <f t="shared" si="16"/>
        <v>250</v>
      </c>
    </row>
    <row r="262" spans="1:7">
      <c r="A262" s="3"/>
      <c r="B262" s="5" t="s">
        <v>269</v>
      </c>
      <c r="C262" s="12">
        <v>1</v>
      </c>
      <c r="D262" s="12" t="s">
        <v>19</v>
      </c>
      <c r="E262" s="12">
        <f>(1200)*(1)</f>
        <v>1200</v>
      </c>
      <c r="F262" s="12">
        <v>0</v>
      </c>
      <c r="G262" s="12">
        <f t="shared" si="16"/>
        <v>1200</v>
      </c>
    </row>
    <row r="263" spans="1:7" ht="18.75">
      <c r="A263" s="2"/>
      <c r="B263" s="8" t="s">
        <v>270</v>
      </c>
      <c r="C263" s="11"/>
      <c r="D263" s="11"/>
      <c r="E263" s="11"/>
      <c r="F263" s="11"/>
      <c r="G263" s="11"/>
    </row>
    <row r="264" spans="1:7">
      <c r="A264" s="3"/>
      <c r="B264" s="5" t="s">
        <v>271</v>
      </c>
      <c r="C264" s="12">
        <v>4</v>
      </c>
      <c r="D264" s="12" t="s">
        <v>44</v>
      </c>
      <c r="E264" s="12">
        <f>(480)*(1)</f>
        <v>480</v>
      </c>
      <c r="F264" s="12">
        <v>0</v>
      </c>
      <c r="G264" s="12">
        <f t="shared" ref="G264:G286" si="17" xml:space="preserve"> (C264 * E264 + C264 * E264 * F264)</f>
        <v>1920</v>
      </c>
    </row>
    <row r="265" spans="1:7">
      <c r="A265" s="3"/>
      <c r="B265" s="5" t="s">
        <v>271</v>
      </c>
      <c r="C265" s="12">
        <v>3</v>
      </c>
      <c r="D265" s="12" t="s">
        <v>44</v>
      </c>
      <c r="E265" s="12">
        <f>(1200)*(1)</f>
        <v>1200</v>
      </c>
      <c r="F265" s="12">
        <v>0</v>
      </c>
      <c r="G265" s="12">
        <f t="shared" si="17"/>
        <v>3600</v>
      </c>
    </row>
    <row r="266" spans="1:7">
      <c r="A266" s="3"/>
      <c r="B266" s="5" t="s">
        <v>272</v>
      </c>
      <c r="C266" s="12">
        <v>5.2</v>
      </c>
      <c r="D266" s="12" t="s">
        <v>44</v>
      </c>
      <c r="E266" s="12">
        <f>(300)*(1)</f>
        <v>300</v>
      </c>
      <c r="F266" s="12">
        <v>0</v>
      </c>
      <c r="G266" s="12">
        <f t="shared" si="17"/>
        <v>1560</v>
      </c>
    </row>
    <row r="267" spans="1:7" ht="45">
      <c r="A267" s="3"/>
      <c r="B267" s="5" t="s">
        <v>273</v>
      </c>
      <c r="C267" s="12">
        <v>9.8000000000000007</v>
      </c>
      <c r="D267" s="12" t="s">
        <v>44</v>
      </c>
      <c r="E267" s="12">
        <f>(800)*(1)</f>
        <v>800</v>
      </c>
      <c r="F267" s="12">
        <v>0</v>
      </c>
      <c r="G267" s="12">
        <f t="shared" si="17"/>
        <v>7840.0000000000009</v>
      </c>
    </row>
    <row r="268" spans="1:7" ht="30">
      <c r="A268" s="3"/>
      <c r="B268" s="5" t="s">
        <v>274</v>
      </c>
      <c r="C268" s="12">
        <v>7.72</v>
      </c>
      <c r="D268" s="12" t="s">
        <v>8</v>
      </c>
      <c r="E268" s="12">
        <f>(800)*(1)</f>
        <v>800</v>
      </c>
      <c r="F268" s="12">
        <v>0</v>
      </c>
      <c r="G268" s="12">
        <f t="shared" si="17"/>
        <v>6176</v>
      </c>
    </row>
    <row r="269" spans="1:7">
      <c r="A269" s="3"/>
      <c r="B269" s="5" t="s">
        <v>275</v>
      </c>
      <c r="C269" s="12">
        <v>2.4</v>
      </c>
      <c r="D269" s="12" t="s">
        <v>8</v>
      </c>
      <c r="E269" s="12">
        <f>(360)*(1)</f>
        <v>360</v>
      </c>
      <c r="F269" s="12">
        <v>0</v>
      </c>
      <c r="G269" s="12">
        <f t="shared" si="17"/>
        <v>864</v>
      </c>
    </row>
    <row r="270" spans="1:7" ht="30">
      <c r="A270" s="3"/>
      <c r="B270" s="5" t="s">
        <v>276</v>
      </c>
      <c r="C270" s="12">
        <v>1</v>
      </c>
      <c r="D270" s="12" t="s">
        <v>19</v>
      </c>
      <c r="E270" s="12">
        <f>(3000)*(1)</f>
        <v>3000</v>
      </c>
      <c r="F270" s="12">
        <v>0</v>
      </c>
      <c r="G270" s="12">
        <f t="shared" si="17"/>
        <v>3000</v>
      </c>
    </row>
    <row r="271" spans="1:7">
      <c r="A271" s="3"/>
      <c r="B271" s="5" t="s">
        <v>277</v>
      </c>
      <c r="C271" s="12">
        <v>4.4000000000000004</v>
      </c>
      <c r="D271" s="12" t="s">
        <v>44</v>
      </c>
      <c r="E271" s="12">
        <f>(800)*(1)</f>
        <v>800</v>
      </c>
      <c r="F271" s="12">
        <v>0</v>
      </c>
      <c r="G271" s="12">
        <f t="shared" si="17"/>
        <v>3520.0000000000005</v>
      </c>
    </row>
    <row r="272" spans="1:7" ht="30">
      <c r="A272" s="3"/>
      <c r="B272" s="5" t="s">
        <v>278</v>
      </c>
      <c r="C272" s="12">
        <v>2.2000000000000002</v>
      </c>
      <c r="D272" s="12" t="s">
        <v>44</v>
      </c>
      <c r="E272" s="12">
        <f>(600)*(1)</f>
        <v>600</v>
      </c>
      <c r="F272" s="12">
        <v>0</v>
      </c>
      <c r="G272" s="12">
        <f t="shared" si="17"/>
        <v>1320</v>
      </c>
    </row>
    <row r="273" spans="1:7" ht="30">
      <c r="A273" s="3"/>
      <c r="B273" s="5" t="s">
        <v>279</v>
      </c>
      <c r="C273" s="12">
        <v>1.1000000000000001</v>
      </c>
      <c r="D273" s="12" t="s">
        <v>8</v>
      </c>
      <c r="E273" s="12">
        <f>(800)*(1)</f>
        <v>800</v>
      </c>
      <c r="F273" s="12">
        <v>0</v>
      </c>
      <c r="G273" s="12">
        <f t="shared" si="17"/>
        <v>880.00000000000011</v>
      </c>
    </row>
    <row r="274" spans="1:7">
      <c r="A274" s="3"/>
      <c r="B274" s="5" t="s">
        <v>280</v>
      </c>
      <c r="C274" s="12">
        <v>0.6</v>
      </c>
      <c r="D274" s="12" t="s">
        <v>44</v>
      </c>
      <c r="E274" s="12">
        <f>(480)*(1)</f>
        <v>480</v>
      </c>
      <c r="F274" s="12">
        <v>0</v>
      </c>
      <c r="G274" s="12">
        <f t="shared" si="17"/>
        <v>288</v>
      </c>
    </row>
    <row r="275" spans="1:7" ht="30">
      <c r="A275" s="3"/>
      <c r="B275" s="5" t="s">
        <v>281</v>
      </c>
      <c r="C275" s="12">
        <v>1.19</v>
      </c>
      <c r="D275" s="12" t="s">
        <v>8</v>
      </c>
      <c r="E275" s="12">
        <f>(800)*(1)</f>
        <v>800</v>
      </c>
      <c r="F275" s="12">
        <v>0</v>
      </c>
      <c r="G275" s="12">
        <f t="shared" si="17"/>
        <v>952</v>
      </c>
    </row>
    <row r="276" spans="1:7">
      <c r="A276" s="3"/>
      <c r="B276" s="5" t="s">
        <v>282</v>
      </c>
      <c r="C276" s="12">
        <v>6.7</v>
      </c>
      <c r="D276" s="12" t="s">
        <v>44</v>
      </c>
      <c r="E276" s="12">
        <f>(1000)*(1)</f>
        <v>1000</v>
      </c>
      <c r="F276" s="12">
        <v>0</v>
      </c>
      <c r="G276" s="12">
        <f t="shared" si="17"/>
        <v>6700</v>
      </c>
    </row>
    <row r="277" spans="1:7">
      <c r="A277" s="3"/>
      <c r="B277" s="5" t="s">
        <v>283</v>
      </c>
      <c r="C277" s="12">
        <v>2.2999999999999998</v>
      </c>
      <c r="D277" s="12" t="s">
        <v>44</v>
      </c>
      <c r="E277" s="12">
        <f>(400)*(1)</f>
        <v>400</v>
      </c>
      <c r="F277" s="12">
        <v>0</v>
      </c>
      <c r="G277" s="12">
        <f t="shared" si="17"/>
        <v>919.99999999999989</v>
      </c>
    </row>
    <row r="278" spans="1:7">
      <c r="A278" s="3"/>
      <c r="B278" s="5" t="s">
        <v>284</v>
      </c>
      <c r="C278" s="12">
        <v>4.2</v>
      </c>
      <c r="D278" s="12" t="s">
        <v>44</v>
      </c>
      <c r="E278" s="12">
        <f>(1000)*(1)</f>
        <v>1000</v>
      </c>
      <c r="F278" s="12">
        <v>0</v>
      </c>
      <c r="G278" s="12">
        <f t="shared" si="17"/>
        <v>4200</v>
      </c>
    </row>
    <row r="279" spans="1:7">
      <c r="A279" s="3"/>
      <c r="B279" s="5" t="s">
        <v>285</v>
      </c>
      <c r="C279" s="12">
        <v>4.2</v>
      </c>
      <c r="D279" s="12" t="s">
        <v>44</v>
      </c>
      <c r="E279" s="12">
        <f>(1000)*(1)</f>
        <v>1000</v>
      </c>
      <c r="F279" s="12">
        <v>0</v>
      </c>
      <c r="G279" s="12">
        <f t="shared" si="17"/>
        <v>4200</v>
      </c>
    </row>
    <row r="280" spans="1:7">
      <c r="A280" s="3"/>
      <c r="B280" s="5" t="s">
        <v>286</v>
      </c>
      <c r="C280" s="12">
        <v>4.4000000000000004</v>
      </c>
      <c r="D280" s="12" t="s">
        <v>44</v>
      </c>
      <c r="E280" s="12">
        <f>(1200)*(1)</f>
        <v>1200</v>
      </c>
      <c r="F280" s="12">
        <v>0</v>
      </c>
      <c r="G280" s="12">
        <f t="shared" si="17"/>
        <v>5280</v>
      </c>
    </row>
    <row r="281" spans="1:7">
      <c r="A281" s="3"/>
      <c r="B281" s="5" t="s">
        <v>287</v>
      </c>
      <c r="C281" s="12">
        <v>3.1</v>
      </c>
      <c r="D281" s="12" t="s">
        <v>44</v>
      </c>
      <c r="E281" s="12">
        <f>(600)*(1)</f>
        <v>600</v>
      </c>
      <c r="F281" s="12">
        <v>0</v>
      </c>
      <c r="G281" s="12">
        <f t="shared" si="17"/>
        <v>1860</v>
      </c>
    </row>
    <row r="282" spans="1:7">
      <c r="A282" s="3"/>
      <c r="B282" s="5" t="s">
        <v>288</v>
      </c>
      <c r="C282" s="12">
        <v>1</v>
      </c>
      <c r="D282" s="12" t="s">
        <v>21</v>
      </c>
      <c r="E282" s="12">
        <f>(1200)*(1)</f>
        <v>1200</v>
      </c>
      <c r="F282" s="12">
        <v>0</v>
      </c>
      <c r="G282" s="12">
        <f t="shared" si="17"/>
        <v>1200</v>
      </c>
    </row>
    <row r="283" spans="1:7">
      <c r="A283" s="3"/>
      <c r="B283" s="5" t="s">
        <v>289</v>
      </c>
      <c r="C283" s="12">
        <v>1</v>
      </c>
      <c r="D283" s="12" t="s">
        <v>21</v>
      </c>
      <c r="E283" s="12">
        <f>(400)*(1)</f>
        <v>400</v>
      </c>
      <c r="F283" s="12">
        <v>0</v>
      </c>
      <c r="G283" s="12">
        <f t="shared" si="17"/>
        <v>400</v>
      </c>
    </row>
    <row r="284" spans="1:7">
      <c r="A284" s="3"/>
      <c r="B284" s="5" t="s">
        <v>290</v>
      </c>
      <c r="C284" s="12">
        <v>1</v>
      </c>
      <c r="D284" s="12" t="s">
        <v>21</v>
      </c>
      <c r="E284" s="12">
        <f>(400)*(1)</f>
        <v>400</v>
      </c>
      <c r="F284" s="12">
        <v>0</v>
      </c>
      <c r="G284" s="12">
        <f t="shared" si="17"/>
        <v>400</v>
      </c>
    </row>
    <row r="285" spans="1:7">
      <c r="A285" s="3"/>
      <c r="B285" s="5" t="s">
        <v>291</v>
      </c>
      <c r="C285" s="12">
        <v>1.8</v>
      </c>
      <c r="D285" s="12" t="s">
        <v>44</v>
      </c>
      <c r="E285" s="12">
        <f>(600)*(1)</f>
        <v>600</v>
      </c>
      <c r="F285" s="12">
        <v>0</v>
      </c>
      <c r="G285" s="12">
        <f t="shared" si="17"/>
        <v>1080</v>
      </c>
    </row>
    <row r="286" spans="1:7">
      <c r="A286" s="3"/>
      <c r="B286" s="5" t="s">
        <v>292</v>
      </c>
      <c r="C286" s="12">
        <v>1.9</v>
      </c>
      <c r="D286" s="12" t="s">
        <v>44</v>
      </c>
      <c r="E286" s="12">
        <f>(1000)*(1)</f>
        <v>1000</v>
      </c>
      <c r="F286" s="12">
        <v>0</v>
      </c>
      <c r="G286" s="12">
        <f t="shared" si="17"/>
        <v>1900</v>
      </c>
    </row>
    <row r="287" spans="1:7" ht="18.75">
      <c r="A287" s="2"/>
      <c r="B287" s="8" t="s">
        <v>293</v>
      </c>
      <c r="C287" s="11"/>
      <c r="D287" s="11"/>
      <c r="E287" s="11"/>
      <c r="F287" s="11"/>
      <c r="G287" s="11"/>
    </row>
    <row r="288" spans="1:7">
      <c r="A288" s="3"/>
      <c r="B288" s="5" t="s">
        <v>294</v>
      </c>
      <c r="C288" s="12">
        <v>3</v>
      </c>
      <c r="D288" s="12" t="s">
        <v>21</v>
      </c>
      <c r="E288" s="12">
        <f>(300)*(1)</f>
        <v>300</v>
      </c>
      <c r="F288" s="12">
        <v>0</v>
      </c>
      <c r="G288" s="12">
        <f xml:space="preserve"> (C288 * E288 + C288 * E288 * F288)</f>
        <v>900</v>
      </c>
    </row>
    <row r="289" spans="1:7">
      <c r="A289" s="3"/>
      <c r="B289" s="5" t="s">
        <v>295</v>
      </c>
      <c r="C289" s="12">
        <v>1</v>
      </c>
      <c r="D289" s="12" t="s">
        <v>21</v>
      </c>
      <c r="E289" s="12">
        <f>(500)*(1)</f>
        <v>500</v>
      </c>
      <c r="F289" s="12">
        <v>0</v>
      </c>
      <c r="G289" s="12">
        <f xml:space="preserve"> (C289 * E289 + C289 * E289 * F289)</f>
        <v>500</v>
      </c>
    </row>
    <row r="290" spans="1:7" ht="30">
      <c r="A290" s="3"/>
      <c r="B290" s="5" t="s">
        <v>296</v>
      </c>
      <c r="C290" s="12">
        <v>5.4</v>
      </c>
      <c r="D290" s="12" t="s">
        <v>44</v>
      </c>
      <c r="E290" s="12">
        <f>(80)*(1)</f>
        <v>80</v>
      </c>
      <c r="F290" s="12">
        <v>0</v>
      </c>
      <c r="G290" s="12">
        <f xml:space="preserve"> (C290 * E290 + C290 * E290 * F290)</f>
        <v>432</v>
      </c>
    </row>
    <row r="291" spans="1:7" ht="18.75">
      <c r="A291" s="2"/>
      <c r="B291" s="8" t="s">
        <v>297</v>
      </c>
      <c r="C291" s="11"/>
      <c r="D291" s="11"/>
      <c r="E291" s="11"/>
      <c r="F291" s="11"/>
      <c r="G291" s="11"/>
    </row>
    <row r="292" spans="1:7" ht="30">
      <c r="A292" s="3"/>
      <c r="B292" s="5" t="s">
        <v>298</v>
      </c>
      <c r="C292" s="12">
        <v>37</v>
      </c>
      <c r="D292" s="12" t="s">
        <v>8</v>
      </c>
      <c r="E292" s="12">
        <f>(50)*(1)</f>
        <v>50</v>
      </c>
      <c r="F292" s="12">
        <v>0</v>
      </c>
      <c r="G292" s="12">
        <f xml:space="preserve"> (C292 * E292 + C292 * E292 * F292)</f>
        <v>1850</v>
      </c>
    </row>
    <row r="293" spans="1:7">
      <c r="A293" s="3"/>
      <c r="B293" s="5" t="s">
        <v>299</v>
      </c>
      <c r="C293" s="12">
        <v>5</v>
      </c>
      <c r="D293" s="12" t="s">
        <v>21</v>
      </c>
      <c r="E293" s="12">
        <f>(10)*(1)</f>
        <v>10</v>
      </c>
      <c r="F293" s="12">
        <v>0</v>
      </c>
      <c r="G293" s="12">
        <f xml:space="preserve"> (C293 * E293 + C293 * E293 * F293)</f>
        <v>50</v>
      </c>
    </row>
    <row r="294" spans="1:7" ht="30">
      <c r="A294" s="3"/>
      <c r="B294" s="5" t="s">
        <v>300</v>
      </c>
      <c r="C294" s="12">
        <v>2</v>
      </c>
      <c r="D294" s="12" t="s">
        <v>21</v>
      </c>
      <c r="E294" s="12">
        <f>(380)*(1)</f>
        <v>380</v>
      </c>
      <c r="F294" s="12">
        <v>0</v>
      </c>
      <c r="G294" s="12">
        <f xml:space="preserve"> (C294 * E294 + C294 * E294 * F294)</f>
        <v>760</v>
      </c>
    </row>
    <row r="295" spans="1:7" ht="18.75">
      <c r="A295" s="2"/>
      <c r="B295" s="8" t="s">
        <v>301</v>
      </c>
      <c r="C295" s="11"/>
      <c r="D295" s="11"/>
      <c r="E295" s="11"/>
      <c r="F295" s="11"/>
      <c r="G295" s="11"/>
    </row>
    <row r="296" spans="1:7">
      <c r="A296" s="3"/>
      <c r="B296" s="5" t="s">
        <v>302</v>
      </c>
      <c r="C296" s="12">
        <v>31</v>
      </c>
      <c r="D296" s="12" t="s">
        <v>8</v>
      </c>
      <c r="E296" s="12">
        <f>(16)*(1)</f>
        <v>16</v>
      </c>
      <c r="F296" s="12">
        <v>0.1</v>
      </c>
      <c r="G296" s="12">
        <f t="shared" ref="G296:G301" si="18" xml:space="preserve"> (C296 * E296 + C296 * E296 * F296)</f>
        <v>545.6</v>
      </c>
    </row>
    <row r="297" spans="1:7">
      <c r="A297" s="3"/>
      <c r="B297" s="5" t="s">
        <v>303</v>
      </c>
      <c r="C297" s="12">
        <v>36.235275275970437</v>
      </c>
      <c r="D297" s="12" t="s">
        <v>8</v>
      </c>
      <c r="E297" s="12">
        <f>(68.5)*(1)</f>
        <v>68.5</v>
      </c>
      <c r="F297" s="12">
        <v>0.1</v>
      </c>
      <c r="G297" s="12">
        <f t="shared" si="18"/>
        <v>2730.3279920443724</v>
      </c>
    </row>
    <row r="298" spans="1:7" ht="30">
      <c r="A298" s="3"/>
      <c r="B298" s="5" t="s">
        <v>304</v>
      </c>
      <c r="C298" s="12">
        <v>37</v>
      </c>
      <c r="D298" s="12" t="s">
        <v>8</v>
      </c>
      <c r="E298" s="12">
        <f>(50)*(1)</f>
        <v>50</v>
      </c>
      <c r="F298" s="12">
        <v>0</v>
      </c>
      <c r="G298" s="12">
        <f t="shared" si="18"/>
        <v>1850</v>
      </c>
    </row>
    <row r="299" spans="1:7">
      <c r="A299" s="3"/>
      <c r="B299" s="5" t="s">
        <v>305</v>
      </c>
      <c r="C299" s="12">
        <v>31</v>
      </c>
      <c r="D299" s="12" t="s">
        <v>8</v>
      </c>
      <c r="E299" s="12">
        <f>(50)*(1)</f>
        <v>50</v>
      </c>
      <c r="F299" s="12">
        <v>0</v>
      </c>
      <c r="G299" s="12">
        <f t="shared" si="18"/>
        <v>1550</v>
      </c>
    </row>
    <row r="300" spans="1:7">
      <c r="A300" s="3"/>
      <c r="B300" s="5" t="s">
        <v>306</v>
      </c>
      <c r="C300" s="12">
        <v>2</v>
      </c>
      <c r="D300" s="12" t="s">
        <v>21</v>
      </c>
      <c r="E300" s="12">
        <f>(150)*(1)</f>
        <v>150</v>
      </c>
      <c r="F300" s="12">
        <v>0</v>
      </c>
      <c r="G300" s="12">
        <f t="shared" si="18"/>
        <v>300</v>
      </c>
    </row>
    <row r="301" spans="1:7">
      <c r="A301" s="3"/>
      <c r="B301" s="5" t="s">
        <v>307</v>
      </c>
      <c r="C301" s="12">
        <v>2</v>
      </c>
      <c r="D301" s="12" t="s">
        <v>21</v>
      </c>
      <c r="E301" s="12">
        <f>(200)*(1)</f>
        <v>200</v>
      </c>
      <c r="F301" s="12">
        <v>0</v>
      </c>
      <c r="G301" s="12">
        <f t="shared" si="18"/>
        <v>400</v>
      </c>
    </row>
    <row r="302" spans="1:7" ht="18.75">
      <c r="A302" s="2"/>
      <c r="B302" s="8" t="s">
        <v>308</v>
      </c>
      <c r="C302" s="11"/>
      <c r="D302" s="11"/>
      <c r="E302" s="11"/>
      <c r="F302" s="11"/>
      <c r="G302" s="11"/>
    </row>
    <row r="303" spans="1:7" ht="30">
      <c r="A303" s="3"/>
      <c r="B303" s="5" t="s">
        <v>309</v>
      </c>
      <c r="C303" s="12">
        <v>274</v>
      </c>
      <c r="D303" s="12" t="s">
        <v>8</v>
      </c>
      <c r="E303" s="12">
        <f>(70)*(1)</f>
        <v>70</v>
      </c>
      <c r="F303" s="12">
        <v>0</v>
      </c>
      <c r="G303" s="12">
        <f xml:space="preserve"> (C303 * E303 + C303 * E303 * F303)</f>
        <v>19180</v>
      </c>
    </row>
    <row r="304" spans="1:7" ht="30">
      <c r="A304" s="3"/>
      <c r="B304" s="5" t="s">
        <v>310</v>
      </c>
      <c r="C304" s="12">
        <v>205</v>
      </c>
      <c r="D304" s="12" t="s">
        <v>21</v>
      </c>
      <c r="E304" s="12">
        <f>(40)*(1)</f>
        <v>40</v>
      </c>
      <c r="F304" s="12">
        <v>0</v>
      </c>
      <c r="G304" s="12">
        <f xml:space="preserve"> (C304 * E304 + C304 * E304 * F304)</f>
        <v>8200</v>
      </c>
    </row>
    <row r="305" spans="1:7">
      <c r="A305" s="3"/>
      <c r="B305" s="5" t="s">
        <v>311</v>
      </c>
      <c r="C305" s="12">
        <v>86</v>
      </c>
      <c r="D305" s="12" t="s">
        <v>8</v>
      </c>
      <c r="E305" s="12">
        <f>(22)*(1)</f>
        <v>22</v>
      </c>
      <c r="F305" s="12">
        <v>0</v>
      </c>
      <c r="G305" s="12">
        <f xml:space="preserve"> (C305 * E305 + C305 * E305 * F305)</f>
        <v>1892</v>
      </c>
    </row>
    <row r="306" spans="1:7" ht="18.75">
      <c r="A306" s="2"/>
      <c r="B306" s="8" t="s">
        <v>312</v>
      </c>
      <c r="C306" s="11"/>
      <c r="D306" s="11"/>
      <c r="E306" s="11"/>
      <c r="F306" s="11"/>
      <c r="G306" s="11"/>
    </row>
    <row r="307" spans="1:7">
      <c r="A307" s="3"/>
      <c r="B307" s="5" t="s">
        <v>313</v>
      </c>
      <c r="C307" s="12">
        <v>9.9000000000000021</v>
      </c>
      <c r="D307" s="12" t="s">
        <v>8</v>
      </c>
      <c r="E307" s="12">
        <f>(250)*(1)</f>
        <v>250</v>
      </c>
      <c r="F307" s="12">
        <v>0</v>
      </c>
      <c r="G307" s="12">
        <f xml:space="preserve"> (C307 * E307 + C307 * E307 * F307)</f>
        <v>2475.0000000000005</v>
      </c>
    </row>
    <row r="308" spans="1:7" ht="30">
      <c r="A308" s="3"/>
      <c r="B308" s="5" t="s">
        <v>314</v>
      </c>
      <c r="C308" s="12">
        <v>2</v>
      </c>
      <c r="D308" s="12" t="s">
        <v>8</v>
      </c>
      <c r="E308" s="12">
        <f>(100)*(1)</f>
        <v>100</v>
      </c>
      <c r="F308" s="12">
        <v>0</v>
      </c>
      <c r="G308" s="12">
        <f xml:space="preserve"> (C308 * E308 + C308 * E308 * F308)</f>
        <v>200</v>
      </c>
    </row>
    <row r="309" spans="1:7" ht="30">
      <c r="A309" s="3"/>
      <c r="B309" s="5" t="s">
        <v>315</v>
      </c>
      <c r="C309" s="12">
        <v>3</v>
      </c>
      <c r="D309" s="12" t="s">
        <v>21</v>
      </c>
      <c r="E309" s="12">
        <f>(300)*(1)</f>
        <v>300</v>
      </c>
      <c r="F309" s="12">
        <v>0</v>
      </c>
      <c r="G309" s="12">
        <f xml:space="preserve"> (C309 * E309 + C309 * E309 * F309)</f>
        <v>900</v>
      </c>
    </row>
    <row r="310" spans="1:7" ht="18.75">
      <c r="A310" s="2"/>
      <c r="B310" s="8" t="s">
        <v>316</v>
      </c>
      <c r="C310" s="11"/>
      <c r="D310" s="11"/>
      <c r="E310" s="11"/>
      <c r="F310" s="11"/>
      <c r="G310" s="11"/>
    </row>
    <row r="311" spans="1:7">
      <c r="A311" s="3"/>
      <c r="B311" s="5" t="s">
        <v>317</v>
      </c>
      <c r="C311" s="12">
        <v>1</v>
      </c>
      <c r="D311" s="12" t="s">
        <v>21</v>
      </c>
      <c r="E311" s="12">
        <f>(1200)*(1)</f>
        <v>1200</v>
      </c>
      <c r="F311" s="12">
        <v>0</v>
      </c>
      <c r="G311" s="12">
        <f t="shared" ref="G311:G329" si="19" xml:space="preserve"> (C311 * E311 + C311 * E311 * F311)</f>
        <v>1200</v>
      </c>
    </row>
    <row r="312" spans="1:7">
      <c r="A312" s="3"/>
      <c r="B312" s="5" t="s">
        <v>318</v>
      </c>
      <c r="C312" s="12">
        <v>1</v>
      </c>
      <c r="D312" s="12" t="s">
        <v>21</v>
      </c>
      <c r="E312" s="12">
        <f>(158.61)*(1)</f>
        <v>158.61000000000001</v>
      </c>
      <c r="F312" s="12">
        <v>0</v>
      </c>
      <c r="G312" s="12">
        <f t="shared" si="19"/>
        <v>158.61000000000001</v>
      </c>
    </row>
    <row r="313" spans="1:7" ht="30">
      <c r="A313" s="3"/>
      <c r="B313" s="5" t="s">
        <v>319</v>
      </c>
      <c r="C313" s="12">
        <v>3</v>
      </c>
      <c r="D313" s="12" t="s">
        <v>21</v>
      </c>
      <c r="E313" s="12">
        <f>(235)*(1)</f>
        <v>235</v>
      </c>
      <c r="F313" s="12">
        <v>0</v>
      </c>
      <c r="G313" s="12">
        <f t="shared" si="19"/>
        <v>705</v>
      </c>
    </row>
    <row r="314" spans="1:7">
      <c r="A314" s="3"/>
      <c r="B314" s="5" t="s">
        <v>320</v>
      </c>
      <c r="C314" s="12">
        <v>2</v>
      </c>
      <c r="D314" s="12" t="s">
        <v>21</v>
      </c>
      <c r="E314" s="12">
        <f>(542)*(1)</f>
        <v>542</v>
      </c>
      <c r="F314" s="12">
        <v>0</v>
      </c>
      <c r="G314" s="12">
        <f t="shared" si="19"/>
        <v>1084</v>
      </c>
    </row>
    <row r="315" spans="1:7" ht="45">
      <c r="A315" s="3"/>
      <c r="B315" s="5" t="s">
        <v>321</v>
      </c>
      <c r="C315" s="12">
        <v>2</v>
      </c>
      <c r="D315" s="12" t="s">
        <v>21</v>
      </c>
      <c r="E315" s="12">
        <f>(90)*(1)</f>
        <v>90</v>
      </c>
      <c r="F315" s="12">
        <v>0</v>
      </c>
      <c r="G315" s="12">
        <f t="shared" si="19"/>
        <v>180</v>
      </c>
    </row>
    <row r="316" spans="1:7">
      <c r="A316" s="3"/>
      <c r="B316" s="5" t="s">
        <v>322</v>
      </c>
      <c r="C316" s="12">
        <v>1</v>
      </c>
      <c r="D316" s="12" t="s">
        <v>21</v>
      </c>
      <c r="E316" s="12">
        <f>(445)*(1)</f>
        <v>445</v>
      </c>
      <c r="F316" s="12">
        <v>0</v>
      </c>
      <c r="G316" s="12">
        <f t="shared" si="19"/>
        <v>445</v>
      </c>
    </row>
    <row r="317" spans="1:7">
      <c r="A317" s="3"/>
      <c r="B317" s="5" t="s">
        <v>323</v>
      </c>
      <c r="C317" s="12">
        <v>1</v>
      </c>
      <c r="D317" s="12" t="s">
        <v>21</v>
      </c>
      <c r="E317" s="12">
        <f>(267)*(1)</f>
        <v>267</v>
      </c>
      <c r="F317" s="12">
        <v>0</v>
      </c>
      <c r="G317" s="12">
        <f t="shared" si="19"/>
        <v>267</v>
      </c>
    </row>
    <row r="318" spans="1:7" ht="30">
      <c r="A318" s="3"/>
      <c r="B318" s="5" t="s">
        <v>324</v>
      </c>
      <c r="C318" s="12">
        <v>2</v>
      </c>
      <c r="D318" s="12" t="s">
        <v>21</v>
      </c>
      <c r="E318" s="12">
        <f>(25.42)*(1)</f>
        <v>25.42</v>
      </c>
      <c r="F318" s="12">
        <v>0</v>
      </c>
      <c r="G318" s="12">
        <f t="shared" si="19"/>
        <v>50.84</v>
      </c>
    </row>
    <row r="319" spans="1:7">
      <c r="A319" s="3"/>
      <c r="B319" s="5" t="s">
        <v>325</v>
      </c>
      <c r="C319" s="12">
        <v>5</v>
      </c>
      <c r="D319" s="12" t="s">
        <v>21</v>
      </c>
      <c r="E319" s="12">
        <f>(372)*(1)</f>
        <v>372</v>
      </c>
      <c r="F319" s="12">
        <v>0</v>
      </c>
      <c r="G319" s="12">
        <f t="shared" si="19"/>
        <v>1860</v>
      </c>
    </row>
    <row r="320" spans="1:7">
      <c r="A320" s="3"/>
      <c r="B320" s="5" t="s">
        <v>326</v>
      </c>
      <c r="C320" s="12">
        <v>1</v>
      </c>
      <c r="D320" s="12" t="s">
        <v>21</v>
      </c>
      <c r="E320" s="12">
        <f>(317)*(1)</f>
        <v>317</v>
      </c>
      <c r="F320" s="12">
        <v>0</v>
      </c>
      <c r="G320" s="12">
        <f t="shared" si="19"/>
        <v>317</v>
      </c>
    </row>
    <row r="321" spans="1:7">
      <c r="A321" s="3"/>
      <c r="B321" s="5" t="s">
        <v>326</v>
      </c>
      <c r="C321" s="12">
        <v>1</v>
      </c>
      <c r="D321" s="12" t="s">
        <v>21</v>
      </c>
      <c r="E321" s="12">
        <f>(226)*(1)</f>
        <v>226</v>
      </c>
      <c r="F321" s="12">
        <v>0</v>
      </c>
      <c r="G321" s="12">
        <f t="shared" si="19"/>
        <v>226</v>
      </c>
    </row>
    <row r="322" spans="1:7">
      <c r="A322" s="3"/>
      <c r="B322" s="5" t="s">
        <v>327</v>
      </c>
      <c r="C322" s="12">
        <v>1</v>
      </c>
      <c r="D322" s="12" t="s">
        <v>21</v>
      </c>
      <c r="E322" s="12">
        <f>(299)*(1)</f>
        <v>299</v>
      </c>
      <c r="F322" s="12">
        <v>0</v>
      </c>
      <c r="G322" s="12">
        <f t="shared" si="19"/>
        <v>299</v>
      </c>
    </row>
    <row r="323" spans="1:7">
      <c r="A323" s="3"/>
      <c r="B323" s="5" t="s">
        <v>327</v>
      </c>
      <c r="C323" s="12">
        <v>1</v>
      </c>
      <c r="D323" s="12" t="s">
        <v>21</v>
      </c>
      <c r="E323" s="12">
        <f>(264)*(1)</f>
        <v>264</v>
      </c>
      <c r="F323" s="12">
        <v>0</v>
      </c>
      <c r="G323" s="12">
        <f t="shared" si="19"/>
        <v>264</v>
      </c>
    </row>
    <row r="324" spans="1:7">
      <c r="A324" s="3"/>
      <c r="B324" s="5" t="s">
        <v>328</v>
      </c>
      <c r="C324" s="12">
        <v>6</v>
      </c>
      <c r="D324" s="12" t="s">
        <v>21</v>
      </c>
      <c r="E324" s="12">
        <f>(20)*(1)</f>
        <v>20</v>
      </c>
      <c r="F324" s="12">
        <v>0</v>
      </c>
      <c r="G324" s="12">
        <f t="shared" si="19"/>
        <v>120</v>
      </c>
    </row>
    <row r="325" spans="1:7">
      <c r="A325" s="3"/>
      <c r="B325" s="5" t="s">
        <v>329</v>
      </c>
      <c r="C325" s="12">
        <v>4</v>
      </c>
      <c r="D325" s="12" t="s">
        <v>21</v>
      </c>
      <c r="E325" s="12">
        <f>(150)*(1)</f>
        <v>150</v>
      </c>
      <c r="F325" s="12">
        <v>0</v>
      </c>
      <c r="G325" s="12">
        <f t="shared" si="19"/>
        <v>600</v>
      </c>
    </row>
    <row r="326" spans="1:7">
      <c r="A326" s="3"/>
      <c r="B326" s="5" t="s">
        <v>330</v>
      </c>
      <c r="C326" s="12">
        <v>2</v>
      </c>
      <c r="D326" s="12" t="s">
        <v>21</v>
      </c>
      <c r="E326" s="12">
        <f>(100)*(1)</f>
        <v>100</v>
      </c>
      <c r="F326" s="12">
        <v>0</v>
      </c>
      <c r="G326" s="12">
        <f t="shared" si="19"/>
        <v>200</v>
      </c>
    </row>
    <row r="327" spans="1:7" ht="30">
      <c r="A327" s="3"/>
      <c r="B327" s="5" t="s">
        <v>331</v>
      </c>
      <c r="C327" s="12">
        <v>1</v>
      </c>
      <c r="D327" s="12" t="s">
        <v>21</v>
      </c>
      <c r="E327" s="12">
        <f>(418)*(1)</f>
        <v>418</v>
      </c>
      <c r="F327" s="12">
        <v>0</v>
      </c>
      <c r="G327" s="12">
        <f t="shared" si="19"/>
        <v>418</v>
      </c>
    </row>
    <row r="328" spans="1:7">
      <c r="A328" s="3"/>
      <c r="B328" s="5" t="s">
        <v>332</v>
      </c>
      <c r="C328" s="12">
        <v>2</v>
      </c>
      <c r="D328" s="12" t="s">
        <v>21</v>
      </c>
      <c r="E328" s="12">
        <f>(608)*(1)</f>
        <v>608</v>
      </c>
      <c r="F328" s="12">
        <v>0</v>
      </c>
      <c r="G328" s="12">
        <f t="shared" si="19"/>
        <v>1216</v>
      </c>
    </row>
    <row r="329" spans="1:7">
      <c r="A329" s="3"/>
      <c r="B329" s="5" t="s">
        <v>333</v>
      </c>
      <c r="C329" s="12">
        <v>4.2</v>
      </c>
      <c r="D329" s="12" t="s">
        <v>44</v>
      </c>
      <c r="E329" s="12">
        <f>(240)*(1)</f>
        <v>240</v>
      </c>
      <c r="F329" s="12">
        <v>0</v>
      </c>
      <c r="G329" s="12">
        <f t="shared" si="19"/>
        <v>1008</v>
      </c>
    </row>
    <row r="330" spans="1:7" ht="18.75">
      <c r="A330" s="2"/>
      <c r="B330" s="8" t="s">
        <v>334</v>
      </c>
      <c r="C330" s="11"/>
      <c r="D330" s="11"/>
      <c r="E330" s="11"/>
      <c r="F330" s="11"/>
      <c r="G330" s="11"/>
    </row>
    <row r="331" spans="1:7" ht="30">
      <c r="A331" s="3"/>
      <c r="B331" s="5" t="s">
        <v>335</v>
      </c>
      <c r="C331" s="12">
        <v>237</v>
      </c>
      <c r="D331" s="12" t="s">
        <v>8</v>
      </c>
      <c r="E331" s="12">
        <f>(29.5)*(1)</f>
        <v>29.5</v>
      </c>
      <c r="F331" s="12">
        <v>0</v>
      </c>
      <c r="G331" s="12">
        <f xml:space="preserve"> (C331 * E331 + C331 * E331 * F331)</f>
        <v>6991.5</v>
      </c>
    </row>
    <row r="332" spans="1:7" ht="30">
      <c r="A332" s="3"/>
      <c r="B332" s="5" t="s">
        <v>336</v>
      </c>
      <c r="C332" s="12">
        <v>237</v>
      </c>
      <c r="D332" s="12" t="s">
        <v>8</v>
      </c>
      <c r="E332" s="12">
        <f>(1)*(1)</f>
        <v>1</v>
      </c>
      <c r="F332" s="12">
        <v>0</v>
      </c>
      <c r="G332" s="12">
        <f xml:space="preserve"> (C332 * E332 + C332 * E332 * F332)</f>
        <v>237</v>
      </c>
    </row>
    <row r="333" spans="1:7">
      <c r="A333" s="3"/>
      <c r="B333" s="5" t="s">
        <v>337</v>
      </c>
      <c r="C333" s="12">
        <v>74</v>
      </c>
      <c r="D333" s="12" t="s">
        <v>8</v>
      </c>
      <c r="E333" s="12">
        <f>(22)*(1)</f>
        <v>22</v>
      </c>
      <c r="F333" s="12">
        <v>0</v>
      </c>
      <c r="G333" s="12">
        <f xml:space="preserve"> (C333 * E333 + C333 * E333 * F333)</f>
        <v>1628</v>
      </c>
    </row>
    <row r="334" spans="1:7" ht="18.75">
      <c r="A334" s="2"/>
      <c r="B334" s="8" t="s">
        <v>338</v>
      </c>
      <c r="C334" s="11"/>
      <c r="D334" s="11"/>
      <c r="E334" s="11"/>
      <c r="F334" s="11"/>
      <c r="G334" s="11"/>
    </row>
    <row r="335" spans="1:7">
      <c r="A335" s="3"/>
      <c r="B335" s="5" t="s">
        <v>339</v>
      </c>
      <c r="C335" s="12">
        <v>1</v>
      </c>
      <c r="D335" s="12" t="s">
        <v>21</v>
      </c>
      <c r="E335" s="12">
        <f>(770)*(1)</f>
        <v>770</v>
      </c>
      <c r="F335" s="12">
        <v>0</v>
      </c>
      <c r="G335" s="12">
        <f xml:space="preserve"> (C335 * E335 + C335 * E335 * F335)</f>
        <v>770</v>
      </c>
    </row>
    <row r="336" spans="1:7">
      <c r="A336" s="3"/>
      <c r="B336" s="5" t="s">
        <v>340</v>
      </c>
      <c r="C336" s="12">
        <v>1</v>
      </c>
      <c r="D336" s="12" t="s">
        <v>21</v>
      </c>
      <c r="E336" s="12">
        <f>(2990)*(1)</f>
        <v>2990</v>
      </c>
      <c r="F336" s="12">
        <v>0</v>
      </c>
      <c r="G336" s="12">
        <f xml:space="preserve"> (C336 * E336 + C336 * E336 * F336)</f>
        <v>2990</v>
      </c>
    </row>
    <row r="337" spans="1:7" ht="18.75">
      <c r="A337" s="2"/>
      <c r="B337" s="8" t="s">
        <v>341</v>
      </c>
      <c r="C337" s="11"/>
      <c r="D337" s="11"/>
      <c r="E337" s="11"/>
      <c r="F337" s="11"/>
      <c r="G337" s="11"/>
    </row>
    <row r="338" spans="1:7">
      <c r="A338" s="3"/>
      <c r="B338" s="5" t="s">
        <v>342</v>
      </c>
      <c r="C338" s="12">
        <v>1</v>
      </c>
      <c r="D338" s="12" t="s">
        <v>19</v>
      </c>
      <c r="E338" s="12">
        <f>(2710)*(1)</f>
        <v>2710</v>
      </c>
      <c r="F338" s="12">
        <v>0</v>
      </c>
      <c r="G338" s="12">
        <f xml:space="preserve"> (C338 * E338 + C338 * E338 * F338)</f>
        <v>2710</v>
      </c>
    </row>
    <row r="339" spans="1:7">
      <c r="A339" s="3"/>
      <c r="B339" s="5" t="s">
        <v>343</v>
      </c>
      <c r="C339" s="12">
        <v>8.3349046584845485</v>
      </c>
      <c r="D339" s="12" t="s">
        <v>8</v>
      </c>
      <c r="E339" s="12">
        <f>(140)*(1)</f>
        <v>140</v>
      </c>
      <c r="F339" s="12">
        <v>0</v>
      </c>
      <c r="G339" s="12">
        <f xml:space="preserve"> (C339 * E339 + C339 * E339 * F339)</f>
        <v>1166.8866521878367</v>
      </c>
    </row>
    <row r="340" spans="1:7">
      <c r="A340" s="3"/>
      <c r="B340" s="5" t="s">
        <v>344</v>
      </c>
      <c r="C340" s="12">
        <v>173.68902050898433</v>
      </c>
      <c r="D340" s="12" t="s">
        <v>8</v>
      </c>
      <c r="E340" s="12">
        <f>(25)*(1)</f>
        <v>25</v>
      </c>
      <c r="F340" s="12">
        <v>0</v>
      </c>
      <c r="G340" s="12">
        <f xml:space="preserve"> (C340 * E340 + C340 * E340 * F340)</f>
        <v>4342.2255127246081</v>
      </c>
    </row>
    <row r="341" spans="1:7" ht="18.75">
      <c r="A341" s="2"/>
      <c r="B341" s="8" t="s">
        <v>345</v>
      </c>
      <c r="C341" s="11"/>
      <c r="D341" s="11"/>
      <c r="E341" s="11"/>
      <c r="F341" s="11"/>
      <c r="G341" s="11"/>
    </row>
    <row r="342" spans="1:7" ht="30">
      <c r="A342" s="3"/>
      <c r="B342" s="5" t="s">
        <v>346</v>
      </c>
      <c r="C342" s="12">
        <v>1</v>
      </c>
      <c r="D342" s="12" t="s">
        <v>21</v>
      </c>
      <c r="E342" s="12">
        <f>(3000)*(1)</f>
        <v>3000</v>
      </c>
      <c r="F342" s="12">
        <v>0</v>
      </c>
      <c r="G342" s="12">
        <f xml:space="preserve"> (C342 * E342 + C342 * E342 * F342)</f>
        <v>3000</v>
      </c>
    </row>
    <row r="343" spans="1:7" ht="30">
      <c r="A343" s="3"/>
      <c r="B343" s="5" t="s">
        <v>347</v>
      </c>
      <c r="C343" s="12">
        <v>274</v>
      </c>
      <c r="D343" s="12" t="s">
        <v>8</v>
      </c>
      <c r="E343" s="12">
        <f>(7)*(1)</f>
        <v>7</v>
      </c>
      <c r="F343" s="12">
        <v>0</v>
      </c>
      <c r="G343" s="12">
        <f xml:space="preserve"> (C343 * E343 + C343 * E343 * F343)</f>
        <v>1918</v>
      </c>
    </row>
    <row r="344" spans="1:7">
      <c r="A344" s="3"/>
      <c r="B344" s="5" t="s">
        <v>348</v>
      </c>
      <c r="C344" s="12">
        <v>10</v>
      </c>
      <c r="D344" s="12" t="s">
        <v>21</v>
      </c>
      <c r="E344" s="12">
        <f>(500)*(1)</f>
        <v>500</v>
      </c>
      <c r="F344" s="12">
        <v>0</v>
      </c>
      <c r="G344" s="12">
        <f xml:space="preserve"> (C344 * E344 + C344 * E344 * F344)</f>
        <v>5000</v>
      </c>
    </row>
    <row r="345" spans="1:7">
      <c r="A345" s="5"/>
      <c r="B345" s="5"/>
      <c r="C345" s="12"/>
      <c r="D345" s="12"/>
      <c r="E345" s="12"/>
      <c r="F345" s="12"/>
      <c r="G345" s="12"/>
    </row>
    <row r="346" spans="1:7" ht="17.25">
      <c r="A346" s="6" t="s">
        <v>349</v>
      </c>
      <c r="B346" s="6"/>
      <c r="C346" s="6"/>
      <c r="D346" s="6"/>
      <c r="E346" s="6"/>
      <c r="F346" s="6"/>
      <c r="G346" s="6">
        <f>(SUM(G2:G345))</f>
        <v>860142.73062918335</v>
      </c>
    </row>
    <row r="347" spans="1:7" ht="17.25">
      <c r="A347" s="6" t="s">
        <v>350</v>
      </c>
      <c r="B347" s="6"/>
      <c r="C347" s="6"/>
      <c r="D347" s="6"/>
      <c r="E347" s="6"/>
      <c r="F347" s="6"/>
      <c r="G347" s="6">
        <v>129037.19000000054</v>
      </c>
    </row>
    <row r="348" spans="1:7" ht="17.25">
      <c r="A348" s="6" t="s">
        <v>351</v>
      </c>
      <c r="B348" s="6"/>
      <c r="C348" s="6"/>
      <c r="D348" s="6"/>
      <c r="E348" s="6"/>
      <c r="F348" s="6"/>
      <c r="G348" s="6">
        <f>0.1*(SUM(G346:G347))</f>
        <v>98917.992062918391</v>
      </c>
    </row>
    <row r="349" spans="1:7" ht="18.75">
      <c r="A349" s="7" t="s">
        <v>5</v>
      </c>
      <c r="B349" s="7"/>
      <c r="C349" s="7"/>
      <c r="D349" s="7"/>
      <c r="E349" s="7"/>
      <c r="F349" s="7"/>
      <c r="G349" s="7">
        <f>SUM(G346:G348)</f>
        <v>1088097.9126921024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RowHeight="15"/>
  <cols>
    <col min="1" max="1" width="30" customWidth="1"/>
    <col min="2" max="2" width="9.140625" customWidth="1"/>
    <col min="3" max="3" width="15" customWidth="1"/>
    <col min="4" max="4" width="20" customWidth="1"/>
  </cols>
  <sheetData>
    <row r="1" spans="1:4" ht="17.25">
      <c r="A1" s="1" t="s">
        <v>1</v>
      </c>
      <c r="B1" s="1" t="s">
        <v>353</v>
      </c>
      <c r="C1" s="1" t="s">
        <v>354</v>
      </c>
      <c r="D1" s="1" t="s">
        <v>5</v>
      </c>
    </row>
    <row r="2" spans="1:4">
      <c r="A2" s="5" t="s">
        <v>6</v>
      </c>
      <c r="B2" s="12"/>
      <c r="C2" s="12"/>
      <c r="D2" s="12">
        <f>SUBTOTAL(9,'Trade Breakup Showing Markup'!G$2:'Trade Breakup Showing Markup'!G$6)</f>
        <v>0</v>
      </c>
    </row>
    <row r="3" spans="1:4">
      <c r="A3" s="5" t="s">
        <v>12</v>
      </c>
      <c r="B3" s="12">
        <v>5.4178564730704544</v>
      </c>
      <c r="C3" s="12"/>
      <c r="D3" s="12">
        <f>SUBTOTAL(9,'Trade Breakup Showing Markup'!G$7:'Trade Breakup Showing Markup'!G$13)</f>
        <v>46607</v>
      </c>
    </row>
    <row r="4" spans="1:4">
      <c r="A4" s="5" t="s">
        <v>23</v>
      </c>
      <c r="B4" s="12">
        <v>0.82301851287014449</v>
      </c>
      <c r="C4" s="12"/>
      <c r="D4" s="12">
        <f>SUBTOTAL(9,'Trade Breakup Showing Markup'!G$14:'Trade Breakup Showing Markup'!G$24)</f>
        <v>7080</v>
      </c>
    </row>
    <row r="5" spans="1:4">
      <c r="A5" s="5" t="s">
        <v>36</v>
      </c>
      <c r="B5" s="12">
        <v>0.39999192125079713</v>
      </c>
      <c r="C5" s="12"/>
      <c r="D5" s="12">
        <f>SUBTOTAL(9,'Trade Breakup Showing Markup'!G$25:'Trade Breakup Showing Markup'!G$28)</f>
        <v>3440.9223585745353</v>
      </c>
    </row>
    <row r="6" spans="1:4">
      <c r="A6" s="5" t="s">
        <v>40</v>
      </c>
      <c r="B6" s="12">
        <v>0.64283790623896864</v>
      </c>
      <c r="C6" s="12"/>
      <c r="D6" s="12">
        <f>SUBTOTAL(9,'Trade Breakup Showing Markup'!G$29:'Trade Breakup Showing Markup'!G$32)</f>
        <v>5530</v>
      </c>
    </row>
    <row r="7" spans="1:4">
      <c r="A7" s="5" t="s">
        <v>47</v>
      </c>
      <c r="B7" s="12">
        <v>2.9683360098608689</v>
      </c>
      <c r="C7" s="12"/>
      <c r="D7" s="12">
        <f>SUBTOTAL(9,'Trade Breakup Showing Markup'!G$33:'Trade Breakup Showing Markup'!G$40)</f>
        <v>25535.050088394331</v>
      </c>
    </row>
    <row r="8" spans="1:4">
      <c r="A8" s="5" t="s">
        <v>55</v>
      </c>
      <c r="B8" s="12">
        <v>0.20651022430986038</v>
      </c>
      <c r="C8" s="12"/>
      <c r="D8" s="12">
        <f>SUBTOTAL(9,'Trade Breakup Showing Markup'!G$41:'Trade Breakup Showing Markup'!G$43)</f>
        <v>1776.5</v>
      </c>
    </row>
    <row r="9" spans="1:4">
      <c r="A9" s="5" t="s">
        <v>58</v>
      </c>
      <c r="B9" s="12">
        <v>4.3921380889889008</v>
      </c>
      <c r="C9" s="12"/>
      <c r="D9" s="12">
        <f>SUBTOTAL(9,'Trade Breakup Showing Markup'!G$44:'Trade Breakup Showing Markup'!G$52)</f>
        <v>37783.278484949202</v>
      </c>
    </row>
    <row r="10" spans="1:4">
      <c r="A10" s="5" t="s">
        <v>68</v>
      </c>
      <c r="B10" s="12">
        <v>0.95595692689815248</v>
      </c>
      <c r="C10" s="12"/>
      <c r="D10" s="12">
        <f>SUBTOTAL(9,'Trade Breakup Showing Markup'!G$53:'Trade Breakup Showing Markup'!G$62)</f>
        <v>8223.6</v>
      </c>
    </row>
    <row r="11" spans="1:4">
      <c r="A11" s="5" t="s">
        <v>78</v>
      </c>
      <c r="B11" s="12">
        <v>11.012188235209507</v>
      </c>
      <c r="C11" s="12"/>
      <c r="D11" s="12">
        <f>SUBTOTAL(9,'Trade Breakup Showing Markup'!G$63:'Trade Breakup Showing Markup'!G$110)</f>
        <v>94732.125081109582</v>
      </c>
    </row>
    <row r="12" spans="1:4">
      <c r="A12" s="5" t="s">
        <v>126</v>
      </c>
      <c r="B12" s="12">
        <v>1.4769392701002204</v>
      </c>
      <c r="C12" s="12"/>
      <c r="D12" s="12">
        <f>SUBTOTAL(9,'Trade Breakup Showing Markup'!G$111:'Trade Breakup Showing Markup'!G$112)</f>
        <v>12705.34</v>
      </c>
    </row>
    <row r="13" spans="1:4">
      <c r="A13" s="5" t="s">
        <v>128</v>
      </c>
      <c r="B13" s="12">
        <v>8.0016812458273137</v>
      </c>
      <c r="C13" s="12"/>
      <c r="D13" s="12">
        <f>SUBTOTAL(9,'Trade Breakup Showing Markup'!G$113:'Trade Breakup Showing Markup'!G$119)</f>
        <v>68834.3</v>
      </c>
    </row>
    <row r="14" spans="1:4">
      <c r="A14" s="5" t="s">
        <v>135</v>
      </c>
      <c r="B14" s="12">
        <v>6.4269012326786532</v>
      </c>
      <c r="C14" s="12"/>
      <c r="D14" s="12">
        <f>SUBTOTAL(9,'Trade Breakup Showing Markup'!G$120:'Trade Breakup Showing Markup'!G$138)</f>
        <v>55182.053666666659</v>
      </c>
    </row>
    <row r="15" spans="1:4">
      <c r="A15" s="5" t="s">
        <v>154</v>
      </c>
      <c r="B15" s="12">
        <v>1.7009072515093517</v>
      </c>
      <c r="C15" s="12"/>
      <c r="D15" s="12">
        <f>SUBTOTAL(9,'Trade Breakup Showing Markup'!G$139:'Trade Breakup Showing Markup'!G$152)</f>
        <v>14632.02</v>
      </c>
    </row>
    <row r="16" spans="1:4">
      <c r="A16" s="5" t="s">
        <v>163</v>
      </c>
      <c r="B16" s="12">
        <v>5.5860056650007746</v>
      </c>
      <c r="C16" s="12"/>
      <c r="D16" s="12">
        <f>SUBTOTAL(9,'Trade Breakup Showing Markup'!G$153:'Trade Breakup Showing Markup'!G$164)</f>
        <v>48053.5</v>
      </c>
    </row>
    <row r="17" spans="1:4">
      <c r="A17" s="5" t="s">
        <v>173</v>
      </c>
      <c r="B17" s="12">
        <v>7.4177623979567384</v>
      </c>
      <c r="C17" s="12"/>
      <c r="D17" s="12">
        <f>SUBTOTAL(9,'Trade Breakup Showing Markup'!G$165:'Trade Breakup Showing Markup'!G$190)</f>
        <v>63811.149999999994</v>
      </c>
    </row>
    <row r="18" spans="1:4">
      <c r="A18" s="5" t="s">
        <v>198</v>
      </c>
      <c r="B18" s="12">
        <v>0.73234698179123026</v>
      </c>
      <c r="C18" s="12"/>
      <c r="D18" s="12">
        <f>SUBTOTAL(9,'Trade Breakup Showing Markup'!G$191:'Trade Breakup Showing Markup'!G$192)</f>
        <v>6300</v>
      </c>
    </row>
    <row r="19" spans="1:4">
      <c r="A19" s="5" t="s">
        <v>200</v>
      </c>
      <c r="B19" s="12">
        <v>4.9613601877539217</v>
      </c>
      <c r="C19" s="12"/>
      <c r="D19" s="12">
        <f>SUBTOTAL(9,'Trade Breakup Showing Markup'!G$193:'Trade Breakup Showing Markup'!G$220)</f>
        <v>42680</v>
      </c>
    </row>
    <row r="20" spans="1:4">
      <c r="A20" s="5" t="s">
        <v>228</v>
      </c>
      <c r="B20" s="12">
        <v>7.5200410474692809</v>
      </c>
      <c r="C20" s="12"/>
      <c r="D20" s="12">
        <f>SUBTOTAL(9,'Trade Breakup Showing Markup'!G$221:'Trade Breakup Showing Markup'!G$224)</f>
        <v>64691</v>
      </c>
    </row>
    <row r="21" spans="1:4">
      <c r="A21" s="5" t="s">
        <v>232</v>
      </c>
      <c r="B21" s="12">
        <v>1.2719682290360099</v>
      </c>
      <c r="C21" s="12"/>
      <c r="D21" s="12">
        <f>SUBTOTAL(9,'Trade Breakup Showing Markup'!G$225:'Trade Breakup Showing Markup'!G$233)</f>
        <v>10942.080792532357</v>
      </c>
    </row>
    <row r="22" spans="1:4">
      <c r="A22" s="5" t="s">
        <v>241</v>
      </c>
      <c r="B22" s="12">
        <v>0.75094627021767413</v>
      </c>
      <c r="C22" s="12"/>
      <c r="D22" s="12">
        <f>SUBTOTAL(9,'Trade Breakup Showing Markup'!G$234:'Trade Breakup Showing Markup'!G$236)</f>
        <v>6460</v>
      </c>
    </row>
    <row r="23" spans="1:4">
      <c r="A23" s="5" t="s">
        <v>244</v>
      </c>
      <c r="B23" s="12">
        <v>3.8578946292566951</v>
      </c>
      <c r="C23" s="12"/>
      <c r="D23" s="12">
        <f>SUBTOTAL(9,'Trade Breakup Showing Markup'!G$237:'Trade Breakup Showing Markup'!G$241)</f>
        <v>33187.46</v>
      </c>
    </row>
    <row r="24" spans="1:4">
      <c r="A24" s="5" t="s">
        <v>249</v>
      </c>
      <c r="B24" s="12">
        <v>6.4874736515426061</v>
      </c>
      <c r="C24" s="12"/>
      <c r="D24" s="12">
        <f>SUBTOTAL(9,'Trade Breakup Showing Markup'!G$242:'Trade Breakup Showing Markup'!G$262)</f>
        <v>55808.36</v>
      </c>
    </row>
    <row r="25" spans="1:4">
      <c r="A25" s="5" t="s">
        <v>270</v>
      </c>
      <c r="B25" s="12">
        <v>6.9817078930763943</v>
      </c>
      <c r="C25" s="12"/>
      <c r="D25" s="12">
        <f>SUBTOTAL(9,'Trade Breakup Showing Markup'!G$263:'Trade Breakup Showing Markup'!G$286)</f>
        <v>60060</v>
      </c>
    </row>
    <row r="26" spans="1:4">
      <c r="A26" s="5" t="s">
        <v>293</v>
      </c>
      <c r="B26" s="12">
        <v>0.21296185248278313</v>
      </c>
      <c r="C26" s="12"/>
      <c r="D26" s="12">
        <f>SUBTOTAL(9,'Trade Breakup Showing Markup'!G$287:'Trade Breakup Showing Markup'!G$290)</f>
        <v>1832</v>
      </c>
    </row>
    <row r="27" spans="1:4">
      <c r="A27" s="5" t="s">
        <v>297</v>
      </c>
      <c r="B27" s="12">
        <v>0.30921317008963051</v>
      </c>
      <c r="C27" s="12"/>
      <c r="D27" s="12">
        <f>SUBTOTAL(9,'Trade Breakup Showing Markup'!G$291:'Trade Breakup Showing Markup'!G$294)</f>
        <v>2660</v>
      </c>
    </row>
    <row r="28" spans="1:4">
      <c r="A28" s="5" t="s">
        <v>301</v>
      </c>
      <c r="B28" s="12">
        <v>0.85741882585446749</v>
      </c>
      <c r="C28" s="12"/>
      <c r="D28" s="12">
        <f>SUBTOTAL(9,'Trade Breakup Showing Markup'!G$295:'Trade Breakup Showing Markup'!G$301)</f>
        <v>7375.9279920443723</v>
      </c>
    </row>
    <row r="29" spans="1:4">
      <c r="A29" s="5" t="s">
        <v>308</v>
      </c>
      <c r="B29" s="12">
        <v>3.4027398176179191</v>
      </c>
      <c r="C29" s="12"/>
      <c r="D29" s="12">
        <f>SUBTOTAL(9,'Trade Breakup Showing Markup'!G$302:'Trade Breakup Showing Markup'!G$305)</f>
        <v>29272</v>
      </c>
    </row>
    <row r="30" spans="1:4">
      <c r="A30" s="5" t="s">
        <v>312</v>
      </c>
      <c r="B30" s="12">
        <v>0.41557785077835685</v>
      </c>
      <c r="C30" s="12"/>
      <c r="D30" s="12">
        <f>SUBTOTAL(9,'Trade Breakup Showing Markup'!G$306:'Trade Breakup Showing Markup'!G$309)</f>
        <v>3575.0000000000005</v>
      </c>
    </row>
    <row r="31" spans="1:4">
      <c r="A31" s="5" t="s">
        <v>316</v>
      </c>
      <c r="B31" s="12">
        <v>1.2343475886985855</v>
      </c>
      <c r="C31" s="12"/>
      <c r="D31" s="12">
        <f>SUBTOTAL(9,'Trade Breakup Showing Markup'!G$310:'Trade Breakup Showing Markup'!G$329)</f>
        <v>10618.45</v>
      </c>
    </row>
    <row r="32" spans="1:4">
      <c r="A32" s="5" t="s">
        <v>334</v>
      </c>
      <c r="B32" s="12">
        <v>1.0295287371800048</v>
      </c>
      <c r="C32" s="12"/>
      <c r="D32" s="12">
        <f>SUBTOTAL(9,'Trade Breakup Showing Markup'!G$330:'Trade Breakup Showing Markup'!G$333)</f>
        <v>8856.5</v>
      </c>
    </row>
    <row r="33" spans="1:4">
      <c r="A33" s="5" t="s">
        <v>338</v>
      </c>
      <c r="B33" s="12">
        <v>0.4370832780214326</v>
      </c>
      <c r="C33" s="12"/>
      <c r="D33" s="12">
        <f>SUBTOTAL(9,'Trade Breakup Showing Markup'!G$334:'Trade Breakup Showing Markup'!G$336)</f>
        <v>3760</v>
      </c>
    </row>
    <row r="34" spans="1:4">
      <c r="A34" s="5" t="s">
        <v>341</v>
      </c>
      <c r="B34" s="12">
        <v>0.95543523602812908</v>
      </c>
      <c r="C34" s="12"/>
      <c r="D34" s="12">
        <f>SUBTOTAL(9,'Trade Breakup Showing Markup'!G$337:'Trade Breakup Showing Markup'!G$340)</f>
        <v>8219.1121649124452</v>
      </c>
    </row>
    <row r="35" spans="1:4">
      <c r="A35" s="5" t="s">
        <v>345</v>
      </c>
      <c r="B35" s="12">
        <v>1.1529233913341939</v>
      </c>
      <c r="C35" s="12"/>
      <c r="D35" s="12">
        <f>SUBTOTAL(9,'Trade Breakup Showing Markup'!G$341:'Trade Breakup Showing Markup'!G$344)</f>
        <v>9918</v>
      </c>
    </row>
    <row r="36" spans="1:4" ht="17.25">
      <c r="A36" s="14" t="s">
        <v>349</v>
      </c>
      <c r="B36" s="15"/>
      <c r="C36" s="15"/>
      <c r="D36" s="15">
        <f>'Trade Breakup Showing Markup'!G346</f>
        <v>860142.73062918335</v>
      </c>
    </row>
    <row r="37" spans="1:4" ht="17.25">
      <c r="A37" s="6" t="s">
        <v>350</v>
      </c>
      <c r="B37" s="6"/>
      <c r="C37" s="6"/>
      <c r="D37" s="6">
        <f>'Trade Breakup Showing Markup'!G347</f>
        <v>129037.19000000054</v>
      </c>
    </row>
    <row r="38" spans="1:4" ht="17.25">
      <c r="A38" s="6" t="s">
        <v>351</v>
      </c>
      <c r="B38" s="6"/>
      <c r="C38" s="6"/>
      <c r="D38" s="6">
        <f>'Trade Breakup Showing Markup'!G348</f>
        <v>98917.992062918391</v>
      </c>
    </row>
    <row r="39" spans="1:4" ht="18.75">
      <c r="A39" s="7" t="s">
        <v>5</v>
      </c>
      <c r="B39" s="7"/>
      <c r="C39" s="7"/>
      <c r="D39" s="7">
        <f>'Trade Breakup Showing Markup'!G349</f>
        <v>1088097.9126921024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Trade Breakup</vt:lpstr>
      <vt:lpstr>Trade Breakup Showing Markup</vt:lpstr>
      <vt:lpstr>Trade 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2016-05-18T04:51:37Z</dcterms:modified>
</cp:coreProperties>
</file>